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7105" windowHeight="119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E15" i="1" l="1"/>
  <c r="C17" i="1"/>
  <c r="C16" i="1"/>
  <c r="D17" i="1"/>
  <c r="C21" i="1"/>
  <c r="P28" i="1"/>
  <c r="A28" i="1" s="1"/>
  <c r="P29" i="1"/>
  <c r="A29" i="1"/>
  <c r="B28" i="17" s="1"/>
  <c r="P30" i="1"/>
  <c r="P31" i="1"/>
  <c r="A31" i="1" s="1"/>
  <c r="P32" i="1"/>
  <c r="A32" i="1"/>
  <c r="L60" i="2" s="1"/>
  <c r="P33" i="1"/>
  <c r="A33" i="1" s="1"/>
  <c r="L70" i="2" s="1"/>
  <c r="P34" i="1"/>
  <c r="P21" i="1"/>
  <c r="A21" i="1" s="1"/>
  <c r="D21" i="1"/>
  <c r="J5" i="1"/>
  <c r="P27" i="1"/>
  <c r="A27" i="1" s="1"/>
  <c r="P20" i="1"/>
  <c r="A20" i="1" s="1"/>
  <c r="P14" i="1"/>
  <c r="A14" i="1" s="1"/>
  <c r="P15" i="1"/>
  <c r="A15" i="1" s="1"/>
  <c r="P16" i="1"/>
  <c r="A16" i="1" s="1"/>
  <c r="P17" i="1"/>
  <c r="A17" i="1" s="1"/>
  <c r="P18" i="1"/>
  <c r="A18" i="1" s="1"/>
  <c r="P12" i="1"/>
  <c r="A12" i="1" s="1"/>
  <c r="P13" i="1"/>
  <c r="A13" i="1" s="1"/>
  <c r="P11" i="1"/>
  <c r="A11" i="1" s="1"/>
  <c r="C12" i="1"/>
  <c r="D56" i="1"/>
  <c r="A22" i="1"/>
  <c r="D27" i="1"/>
  <c r="K10" i="2" s="1"/>
  <c r="E14" i="1"/>
  <c r="E16" i="1"/>
  <c r="D15" i="1"/>
  <c r="D14" i="1"/>
  <c r="D16" i="1"/>
  <c r="C14" i="1"/>
  <c r="C15" i="1"/>
  <c r="C11" i="1"/>
  <c r="D11" i="1"/>
  <c r="E11" i="1"/>
  <c r="D12" i="1"/>
  <c r="E12" i="1"/>
  <c r="C13" i="1"/>
  <c r="D13" i="1"/>
  <c r="E13" i="1"/>
  <c r="E17" i="1"/>
  <c r="C18" i="1"/>
  <c r="D18" i="1"/>
  <c r="E18" i="1"/>
  <c r="C20" i="1"/>
  <c r="D20" i="1"/>
  <c r="E20" i="1"/>
  <c r="E21" i="1"/>
  <c r="C22" i="1"/>
  <c r="D22" i="1"/>
  <c r="E22" i="1"/>
  <c r="C27" i="1"/>
  <c r="C28" i="1"/>
  <c r="D28" i="1"/>
  <c r="K20" i="2" s="1"/>
  <c r="C29" i="1"/>
  <c r="D29" i="1"/>
  <c r="K30" i="2" s="1"/>
  <c r="C30" i="1"/>
  <c r="A30" i="1"/>
  <c r="L40" i="2" s="1"/>
  <c r="D30" i="1"/>
  <c r="K40" i="2" s="1"/>
  <c r="C31" i="1"/>
  <c r="D31" i="1"/>
  <c r="K50" i="2" s="1"/>
  <c r="C32" i="1"/>
  <c r="D32" i="1"/>
  <c r="K60" i="2" s="1"/>
  <c r="C33" i="1"/>
  <c r="D33" i="1"/>
  <c r="K70" i="2" s="1"/>
  <c r="C34" i="1"/>
  <c r="D34" i="1"/>
  <c r="K80" i="2"/>
  <c r="A34" i="1"/>
  <c r="L80" i="2" s="1"/>
  <c r="C37" i="1"/>
  <c r="C38" i="1"/>
  <c r="C39" i="1"/>
  <c r="C41" i="1"/>
  <c r="B32" i="17" s="1"/>
  <c r="C42" i="1"/>
  <c r="B33" i="17"/>
  <c r="C43" i="1"/>
  <c r="I53" i="1"/>
  <c r="B14" i="2"/>
  <c r="A14" i="2"/>
  <c r="A12" i="2"/>
  <c r="D15" i="2"/>
  <c r="J53" i="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4" i="2" s="1"/>
  <c r="B4" i="2"/>
  <c r="E5" i="2" s="1"/>
  <c r="A6" i="2"/>
  <c r="D6" i="2"/>
  <c r="B6" i="2"/>
  <c r="A8" i="2"/>
  <c r="B8" i="2"/>
  <c r="A10" i="2"/>
  <c r="D11" i="2"/>
  <c r="B10" i="2"/>
  <c r="M10" i="2"/>
  <c r="Q11" i="2"/>
  <c r="B12" i="2"/>
  <c r="Q12" i="2"/>
  <c r="Q13" i="2"/>
  <c r="Q14" i="2"/>
  <c r="Q15" i="2"/>
  <c r="Q16" i="2"/>
  <c r="Q17" i="2"/>
  <c r="Q18" i="2"/>
  <c r="U12" i="2"/>
  <c r="U13" i="2"/>
  <c r="U14" i="2"/>
  <c r="U15" i="2"/>
  <c r="U16" i="2"/>
  <c r="U17" i="2"/>
  <c r="U18" i="2"/>
  <c r="U19" i="2"/>
  <c r="U20" i="2"/>
  <c r="U21" i="2"/>
  <c r="U22" i="2"/>
  <c r="U23" i="2"/>
  <c r="U24" i="2"/>
  <c r="U25" i="2"/>
  <c r="U26" i="2"/>
  <c r="U27" i="2"/>
  <c r="U28" i="2"/>
  <c r="U29" i="2"/>
  <c r="U30" i="2"/>
  <c r="A16" i="2"/>
  <c r="B16" i="2"/>
  <c r="A18" i="2"/>
  <c r="D18" i="2"/>
  <c r="M20" i="2"/>
  <c r="P22" i="2" s="1"/>
  <c r="S22" i="2" s="1"/>
  <c r="Q21" i="2"/>
  <c r="Q22" i="2"/>
  <c r="Q23" i="2"/>
  <c r="Q24" i="2"/>
  <c r="Q25" i="2"/>
  <c r="Q26" i="2"/>
  <c r="Q27" i="2"/>
  <c r="Q28" i="2"/>
  <c r="M30" i="2"/>
  <c r="P30" i="2" s="1"/>
  <c r="S30" i="2" s="1"/>
  <c r="Q31" i="2"/>
  <c r="Q32" i="2"/>
  <c r="Q33" i="2"/>
  <c r="Q34" i="2"/>
  <c r="Q35" i="2"/>
  <c r="Q36" i="2"/>
  <c r="Q37" i="2"/>
  <c r="Q38" i="2"/>
  <c r="BF31" i="2"/>
  <c r="BF32" i="2"/>
  <c r="BF33" i="2"/>
  <c r="BF34" i="2"/>
  <c r="BF35" i="2"/>
  <c r="BF36" i="2"/>
  <c r="BF37" i="2"/>
  <c r="BF38" i="2"/>
  <c r="BF39" i="2"/>
  <c r="M40" i="2"/>
  <c r="P47" i="2"/>
  <c r="BF40" i="2"/>
  <c r="Q41" i="2"/>
  <c r="Q42" i="2"/>
  <c r="Q43" i="2"/>
  <c r="Q44" i="2"/>
  <c r="Q45" i="2"/>
  <c r="Q46" i="2"/>
  <c r="Q47" i="2"/>
  <c r="Q48" i="2"/>
  <c r="BF41" i="2"/>
  <c r="BF42" i="2"/>
  <c r="BF43" i="2"/>
  <c r="M50" i="2"/>
  <c r="P56" i="2"/>
  <c r="S56" i="2"/>
  <c r="Q51" i="2"/>
  <c r="Q52" i="2"/>
  <c r="Q53" i="2"/>
  <c r="Q54" i="2"/>
  <c r="Q55" i="2"/>
  <c r="Q56" i="2"/>
  <c r="Q57" i="2"/>
  <c r="Q58" i="2"/>
  <c r="M60" i="2"/>
  <c r="Q61" i="2"/>
  <c r="Q62" i="2"/>
  <c r="Q63" i="2"/>
  <c r="Q64" i="2"/>
  <c r="Q65" i="2"/>
  <c r="Q66" i="2"/>
  <c r="Q67" i="2"/>
  <c r="Q68" i="2"/>
  <c r="M70" i="2"/>
  <c r="P78" i="2"/>
  <c r="S78" i="2"/>
  <c r="Q71" i="2"/>
  <c r="Q72" i="2"/>
  <c r="Q73" i="2"/>
  <c r="Q74" i="2"/>
  <c r="Q75" i="2"/>
  <c r="Q76" i="2"/>
  <c r="Q77" i="2"/>
  <c r="Q78" i="2"/>
  <c r="M80" i="2"/>
  <c r="P81" i="2"/>
  <c r="S81" i="2"/>
  <c r="Q81" i="2"/>
  <c r="Q82" i="2"/>
  <c r="Q83" i="2"/>
  <c r="Q84" i="2"/>
  <c r="Q85" i="2"/>
  <c r="Q86" i="2"/>
  <c r="Q87" i="2"/>
  <c r="Q88" i="2"/>
  <c r="P82" i="2"/>
  <c r="S82" i="2"/>
  <c r="P86" i="2"/>
  <c r="S86" i="2"/>
  <c r="P63" i="2"/>
  <c r="S63" i="2"/>
  <c r="P67" i="2"/>
  <c r="S67" i="2"/>
  <c r="P40" i="2"/>
  <c r="S40" i="2"/>
  <c r="P48" i="2"/>
  <c r="S48" i="2"/>
  <c r="D7" i="2"/>
  <c r="S47" i="2"/>
  <c r="P62" i="2"/>
  <c r="S62" i="2"/>
  <c r="P87" i="2"/>
  <c r="S87" i="2"/>
  <c r="P85" i="2"/>
  <c r="S85" i="2"/>
  <c r="P83" i="2"/>
  <c r="S83" i="2"/>
  <c r="P65" i="2"/>
  <c r="S65" i="2"/>
  <c r="D10" i="2"/>
  <c r="P41" i="2"/>
  <c r="S41" i="2"/>
  <c r="P45" i="2"/>
  <c r="S45" i="2"/>
  <c r="P44" i="2"/>
  <c r="S44" i="2"/>
  <c r="P43" i="2"/>
  <c r="S43" i="2"/>
  <c r="P42" i="2"/>
  <c r="S42" i="2"/>
  <c r="P46" i="2"/>
  <c r="S46" i="2"/>
  <c r="P88" i="2"/>
  <c r="S88" i="2"/>
  <c r="P84" i="2"/>
  <c r="S84" i="2"/>
  <c r="P80" i="2"/>
  <c r="S80" i="2"/>
  <c r="P61" i="2"/>
  <c r="S61" i="2"/>
  <c r="P60" i="2"/>
  <c r="S60" i="2"/>
  <c r="P76" i="2"/>
  <c r="S76" i="2"/>
  <c r="P71" i="2"/>
  <c r="S71" i="2"/>
  <c r="P51" i="2"/>
  <c r="S51" i="2"/>
  <c r="P57" i="2"/>
  <c r="S57" i="2"/>
  <c r="P50" i="2"/>
  <c r="S50" i="2"/>
  <c r="P54" i="2"/>
  <c r="S54" i="2"/>
  <c r="P52" i="2"/>
  <c r="S52" i="2"/>
  <c r="P20" i="2"/>
  <c r="S20" i="2" s="1"/>
  <c r="P70" i="2"/>
  <c r="S70" i="2"/>
  <c r="P32" i="2"/>
  <c r="S32" i="2" s="1"/>
  <c r="D14" i="2"/>
  <c r="P10" i="2"/>
  <c r="S10" i="2"/>
  <c r="P13" i="2"/>
  <c r="S13" i="2"/>
  <c r="P15" i="2"/>
  <c r="S15" i="2"/>
  <c r="P17" i="2"/>
  <c r="S17" i="2"/>
  <c r="P12" i="2"/>
  <c r="S12" i="2"/>
  <c r="P14" i="2"/>
  <c r="S14" i="2"/>
  <c r="P16" i="2"/>
  <c r="S16" i="2"/>
  <c r="P18" i="2"/>
  <c r="S18" i="2"/>
  <c r="P11" i="2"/>
  <c r="S11" i="2"/>
  <c r="D13" i="2"/>
  <c r="D12" i="2"/>
  <c r="B18" i="2"/>
  <c r="D16" i="2"/>
  <c r="D17" i="2"/>
  <c r="E58" i="1"/>
  <c r="P74" i="2"/>
  <c r="S74" i="2"/>
  <c r="P75" i="2"/>
  <c r="S75" i="2"/>
  <c r="P72" i="2"/>
  <c r="S72" i="2"/>
  <c r="P73" i="2"/>
  <c r="S73" i="2"/>
  <c r="P77" i="2"/>
  <c r="S77" i="2"/>
  <c r="P58" i="2"/>
  <c r="S58" i="2"/>
  <c r="P55" i="2"/>
  <c r="S55" i="2"/>
  <c r="P53" i="2"/>
  <c r="S53" i="2"/>
  <c r="K53" i="1"/>
  <c r="C38" i="17"/>
  <c r="D19" i="2"/>
  <c r="D5" i="2"/>
  <c r="P68" i="2"/>
  <c r="S68" i="2"/>
  <c r="P66" i="2"/>
  <c r="S66" i="2"/>
  <c r="P64" i="2"/>
  <c r="S64" i="2"/>
  <c r="P23" i="2"/>
  <c r="S23" i="2" s="1"/>
  <c r="P24" i="2"/>
  <c r="S24" i="2" s="1"/>
  <c r="P25" i="2"/>
  <c r="S25" i="2" s="1"/>
  <c r="P26" i="2"/>
  <c r="S26" i="2" s="1"/>
  <c r="P21" i="2"/>
  <c r="S21" i="2" s="1"/>
  <c r="P27" i="2"/>
  <c r="S27" i="2" s="1"/>
  <c r="P28" i="2"/>
  <c r="S28" i="2" s="1"/>
  <c r="E6" i="2" l="1"/>
  <c r="E7" i="2" s="1"/>
  <c r="F22" i="1"/>
  <c r="B29" i="17"/>
  <c r="F18" i="1"/>
  <c r="G18" i="1"/>
  <c r="P33" i="2"/>
  <c r="S33" i="2" s="1"/>
  <c r="P35" i="2"/>
  <c r="S35" i="2" s="1"/>
  <c r="P38" i="2"/>
  <c r="S38" i="2" s="1"/>
  <c r="P34" i="2"/>
  <c r="S34" i="2" s="1"/>
  <c r="P31" i="2"/>
  <c r="S31" i="2" s="1"/>
  <c r="P37" i="2"/>
  <c r="S37" i="2" s="1"/>
  <c r="P36" i="2"/>
  <c r="S36" i="2" s="1"/>
  <c r="B26" i="17"/>
  <c r="G16" i="1"/>
  <c r="F16" i="1"/>
  <c r="G22" i="1"/>
  <c r="B30" i="17"/>
  <c r="L50" i="2"/>
  <c r="F20" i="1"/>
  <c r="G20" i="1"/>
  <c r="F21" i="1"/>
  <c r="G21" i="1"/>
  <c r="F17" i="1"/>
  <c r="G17" i="1"/>
  <c r="G15" i="1"/>
  <c r="F15" i="1"/>
  <c r="L30" i="2"/>
  <c r="F14" i="1"/>
  <c r="F13" i="1"/>
  <c r="F12" i="1"/>
  <c r="G12" i="1"/>
  <c r="D9" i="2"/>
  <c r="D8" i="2"/>
  <c r="E8" i="2" s="1"/>
  <c r="E9" i="2" s="1"/>
  <c r="B27" i="17"/>
  <c r="A35" i="1"/>
  <c r="L20" i="2"/>
  <c r="L10" i="2"/>
  <c r="G14" i="1"/>
  <c r="G13" i="1"/>
  <c r="F11" i="1"/>
  <c r="A24" i="1"/>
  <c r="J3" i="1"/>
  <c r="E10" i="2" l="1"/>
  <c r="E11" i="2" s="1"/>
  <c r="E12" i="2" s="1"/>
  <c r="E13" i="2" s="1"/>
  <c r="E14" i="2" s="1"/>
  <c r="E15" i="2" s="1"/>
  <c r="E16" i="2" s="1"/>
  <c r="E17" i="2" s="1"/>
  <c r="E18" i="2" s="1"/>
  <c r="E19" i="2" s="1"/>
  <c r="K58" i="1" s="1"/>
  <c r="E38" i="10"/>
  <c r="E25" i="10"/>
  <c r="E24" i="10"/>
  <c r="E27" i="10"/>
  <c r="E6" i="10"/>
  <c r="E17" i="10"/>
  <c r="E45" i="10"/>
  <c r="E14" i="10"/>
  <c r="E11" i="10"/>
  <c r="E37" i="10"/>
  <c r="E31" i="10"/>
  <c r="E23" i="10"/>
  <c r="E97" i="10"/>
  <c r="E77" i="10"/>
  <c r="E85" i="10"/>
  <c r="E529" i="10"/>
  <c r="E196" i="10"/>
  <c r="E42" i="10"/>
  <c r="E4" i="10"/>
  <c r="E59" i="10"/>
  <c r="E5" i="10"/>
  <c r="E36" i="10"/>
  <c r="E46" i="10"/>
  <c r="E83" i="10"/>
  <c r="E654" i="10"/>
  <c r="E575" i="10"/>
  <c r="E226" i="10"/>
  <c r="E127" i="10"/>
  <c r="E627" i="10"/>
  <c r="E195" i="10"/>
  <c r="E640" i="10"/>
  <c r="E800" i="10"/>
  <c r="E430" i="10"/>
  <c r="E171" i="10"/>
  <c r="E248" i="10"/>
  <c r="E629" i="10"/>
  <c r="E202" i="10"/>
  <c r="E465" i="10"/>
  <c r="E332" i="10"/>
  <c r="E255" i="10"/>
  <c r="E567" i="10"/>
  <c r="E159" i="10"/>
  <c r="E184" i="10"/>
  <c r="E781" i="10"/>
  <c r="E594" i="10"/>
  <c r="E283" i="10"/>
  <c r="E403" i="10"/>
  <c r="E109" i="10"/>
  <c r="E748" i="10"/>
  <c r="E698" i="10"/>
  <c r="E553" i="10"/>
  <c r="E146" i="10"/>
  <c r="E463" i="10"/>
  <c r="E266" i="10"/>
  <c r="E262" i="10"/>
  <c r="E269" i="10"/>
  <c r="E750" i="10"/>
  <c r="E418" i="10"/>
  <c r="E377" i="10"/>
  <c r="E324" i="10"/>
  <c r="E801" i="10"/>
  <c r="E126" i="10"/>
  <c r="E276" i="10"/>
  <c r="E517" i="10"/>
  <c r="E136" i="10"/>
  <c r="E128" i="10"/>
  <c r="E119" i="10"/>
  <c r="E769" i="10"/>
  <c r="E164" i="10"/>
  <c r="E261" i="10"/>
  <c r="E751" i="10"/>
  <c r="E538" i="10"/>
  <c r="E797" i="10"/>
  <c r="E658" i="10"/>
  <c r="E614" i="10"/>
  <c r="E162" i="10"/>
  <c r="E132" i="10"/>
  <c r="E125" i="10"/>
  <c r="E30" i="10"/>
  <c r="E32" i="10"/>
  <c r="E26" i="10"/>
  <c r="E10" i="10"/>
  <c r="E22" i="10"/>
  <c r="E41" i="10"/>
  <c r="E100" i="10"/>
  <c r="E713" i="10"/>
  <c r="E7" i="10"/>
  <c r="E21" i="10"/>
  <c r="E20" i="10"/>
  <c r="E62" i="10"/>
  <c r="E524" i="10"/>
  <c r="E192" i="10"/>
  <c r="E504" i="10"/>
  <c r="E545" i="10"/>
  <c r="E373" i="10"/>
  <c r="E350" i="10"/>
  <c r="E563" i="10"/>
  <c r="E732" i="10"/>
  <c r="E711" i="10"/>
  <c r="E113" i="10"/>
  <c r="E296" i="10"/>
  <c r="E314" i="10"/>
  <c r="E593" i="10"/>
  <c r="E742" i="10"/>
  <c r="E331" i="10"/>
  <c r="E393" i="10"/>
  <c r="E479" i="10"/>
  <c r="E665" i="10"/>
  <c r="E520" i="10"/>
  <c r="E294" i="10"/>
  <c r="E628" i="10"/>
  <c r="E131" i="10"/>
  <c r="E181" i="10"/>
  <c r="E710" i="10"/>
  <c r="E668" i="10"/>
  <c r="E795" i="10"/>
  <c r="E149" i="10"/>
  <c r="E155" i="10"/>
  <c r="E618" i="10"/>
  <c r="E488" i="10"/>
  <c r="E697" i="10"/>
  <c r="E206" i="10"/>
  <c r="E288" i="10"/>
  <c r="E258" i="10"/>
  <c r="E777" i="10"/>
  <c r="E306" i="10"/>
  <c r="E176" i="10"/>
  <c r="E446" i="10"/>
  <c r="E137" i="10"/>
  <c r="E33" i="10"/>
  <c r="E48" i="10"/>
  <c r="E55" i="10"/>
  <c r="E57" i="10"/>
  <c r="E68" i="10"/>
  <c r="E103" i="10"/>
  <c r="E389" i="10"/>
  <c r="E700" i="10"/>
  <c r="E576" i="10"/>
  <c r="E622" i="10"/>
  <c r="E720" i="10"/>
  <c r="E577" i="10"/>
  <c r="E696" i="10"/>
  <c r="E540" i="10"/>
  <c r="E573" i="10"/>
  <c r="E794" i="10"/>
  <c r="E207" i="10"/>
  <c r="E702" i="10"/>
  <c r="E771" i="10"/>
  <c r="E692" i="10"/>
  <c r="E678" i="10"/>
  <c r="E370" i="10"/>
  <c r="E669" i="10"/>
  <c r="E169" i="10"/>
  <c r="E291" i="10"/>
  <c r="E390" i="10"/>
  <c r="E689" i="10"/>
  <c r="E561" i="10"/>
  <c r="E284" i="10"/>
  <c r="E671" i="10"/>
  <c r="E715" i="10"/>
  <c r="E143" i="10"/>
  <c r="E310" i="10"/>
  <c r="E508" i="10"/>
  <c r="E399" i="10"/>
  <c r="E193" i="10"/>
  <c r="E727" i="10"/>
  <c r="E570" i="10"/>
  <c r="E679" i="10"/>
  <c r="E385" i="10"/>
  <c r="E792" i="10"/>
  <c r="E786" i="10"/>
  <c r="E472" i="10"/>
  <c r="E535" i="10"/>
  <c r="E763" i="10"/>
  <c r="E738" i="10"/>
  <c r="E265" i="10"/>
  <c r="E120" i="10"/>
  <c r="E729" i="10"/>
  <c r="E442" i="10"/>
  <c r="E191" i="10"/>
  <c r="E601" i="10"/>
  <c r="E637" i="10"/>
  <c r="E660" i="10"/>
  <c r="E621" i="10"/>
  <c r="E799" i="10"/>
  <c r="E631" i="10"/>
  <c r="E18" i="10"/>
  <c r="E15" i="10"/>
  <c r="E35" i="10"/>
  <c r="E29" i="10"/>
  <c r="E75" i="10"/>
  <c r="E134" i="10"/>
  <c r="E352" i="10"/>
  <c r="E474" i="10"/>
  <c r="E287" i="10"/>
  <c r="E606" i="10"/>
  <c r="E194" i="10"/>
  <c r="E244" i="10"/>
  <c r="E754" i="10"/>
  <c r="E123" i="10"/>
  <c r="E448" i="10"/>
  <c r="E270" i="10"/>
  <c r="E619" i="10"/>
  <c r="E802" i="10"/>
  <c r="E395" i="10"/>
  <c r="E252" i="10"/>
  <c r="E235" i="10"/>
  <c r="E772" i="10"/>
  <c r="E372" i="10"/>
  <c r="E655" i="10"/>
  <c r="E230" i="10"/>
  <c r="E453" i="10"/>
  <c r="E240" i="10"/>
  <c r="E257" i="10"/>
  <c r="E182" i="10"/>
  <c r="E301" i="10"/>
  <c r="E130" i="10"/>
  <c r="E642" i="10"/>
  <c r="E431" i="10"/>
  <c r="E327" i="10"/>
  <c r="E489" i="10"/>
  <c r="E719" i="10"/>
  <c r="E510" i="10"/>
  <c r="E461" i="10"/>
  <c r="E487" i="10"/>
  <c r="E245" i="10"/>
  <c r="E591" i="10"/>
  <c r="E356" i="10"/>
  <c r="E492" i="10"/>
  <c r="E254" i="10"/>
  <c r="E293" i="10"/>
  <c r="E424" i="10"/>
  <c r="E648" i="10"/>
  <c r="E625" i="10"/>
  <c r="E469" i="10"/>
  <c r="E369" i="10"/>
  <c r="E365" i="10"/>
  <c r="E375" i="10"/>
  <c r="E219" i="10"/>
  <c r="E292" i="10"/>
  <c r="E650" i="10"/>
  <c r="E556" i="10"/>
  <c r="E49" i="10"/>
  <c r="E581" i="10"/>
  <c r="E2" i="10"/>
  <c r="E19" i="10"/>
  <c r="E3" i="10"/>
  <c r="E94" i="10"/>
  <c r="E43" i="10"/>
  <c r="E44" i="10"/>
  <c r="E172" i="10"/>
  <c r="E569" i="10"/>
  <c r="E527" i="10"/>
  <c r="E115" i="10"/>
  <c r="E726" i="10"/>
  <c r="E464" i="10"/>
  <c r="E318" i="10"/>
  <c r="E552" i="10"/>
  <c r="E558" i="10"/>
  <c r="E273" i="10"/>
  <c r="E633" i="10"/>
  <c r="E200" i="10"/>
  <c r="E787" i="10"/>
  <c r="E670" i="10"/>
  <c r="E712" i="10"/>
  <c r="E667" i="10"/>
  <c r="E485" i="10"/>
  <c r="E388" i="10"/>
  <c r="E210" i="10"/>
  <c r="E148" i="10"/>
  <c r="E39" i="10"/>
  <c r="E40" i="10"/>
  <c r="E73" i="10"/>
  <c r="E501" i="10"/>
  <c r="E362" i="10"/>
  <c r="E429" i="10"/>
  <c r="E585" i="10"/>
  <c r="E238" i="10"/>
  <c r="E407" i="10"/>
  <c r="E752" i="10"/>
  <c r="E447" i="10"/>
  <c r="E328" i="10"/>
  <c r="E168" i="10"/>
  <c r="E516" i="10"/>
  <c r="E392" i="10"/>
  <c r="E549" i="10"/>
  <c r="E521" i="10"/>
  <c r="E645" i="10"/>
  <c r="E483" i="10"/>
  <c r="E725" i="10"/>
  <c r="E247" i="10"/>
  <c r="E190" i="10"/>
  <c r="E582" i="10"/>
  <c r="E404" i="10"/>
  <c r="E523" i="10"/>
  <c r="E467" i="10"/>
  <c r="E436" i="10"/>
  <c r="E285" i="10"/>
  <c r="E277" i="10"/>
  <c r="E51" i="10"/>
  <c r="E86" i="10"/>
  <c r="E505" i="10"/>
  <c r="E526" i="10"/>
  <c r="E664" i="10"/>
  <c r="E335" i="10"/>
  <c r="E617" i="10"/>
  <c r="E213" i="10"/>
  <c r="E511" i="10"/>
  <c r="E789" i="10"/>
  <c r="E333" i="10"/>
  <c r="E515" i="10"/>
  <c r="E118" i="10"/>
  <c r="E728" i="10"/>
  <c r="E339" i="10"/>
  <c r="E695" i="10"/>
  <c r="E438" i="10"/>
  <c r="E280" i="10"/>
  <c r="E603" i="10"/>
  <c r="E416" i="10"/>
  <c r="E790" i="10"/>
  <c r="E346" i="10"/>
  <c r="E590" i="10"/>
  <c r="E286" i="10"/>
  <c r="E178" i="10"/>
  <c r="E271" i="10"/>
  <c r="E528" i="10"/>
  <c r="E612" i="10"/>
  <c r="E685" i="10"/>
  <c r="E9" i="10"/>
  <c r="E8" i="10"/>
  <c r="E13" i="10"/>
  <c r="E471" i="10"/>
  <c r="E607" i="10"/>
  <c r="E217" i="10"/>
  <c r="E203" i="10"/>
  <c r="E778" i="10"/>
  <c r="E316" i="10"/>
  <c r="E699" i="10"/>
  <c r="E775" i="10"/>
  <c r="E156" i="10"/>
  <c r="E198" i="10"/>
  <c r="E28" i="10"/>
  <c r="E450" i="10"/>
  <c r="E242" i="10"/>
  <c r="E493" i="10"/>
  <c r="E432" i="10"/>
  <c r="E297" i="10"/>
  <c r="E145" i="10"/>
  <c r="E413" i="10"/>
  <c r="E791" i="10"/>
  <c r="E677" i="10"/>
  <c r="E457" i="10"/>
  <c r="E411" i="10"/>
  <c r="E410" i="10"/>
  <c r="E682" i="10"/>
  <c r="E58" i="10"/>
  <c r="E105" i="10"/>
  <c r="E110" i="10"/>
  <c r="E383" i="10"/>
  <c r="E179" i="10"/>
  <c r="E400" i="10"/>
  <c r="E583" i="10"/>
  <c r="E338" i="10"/>
  <c r="E197" i="10"/>
  <c r="E578" i="10"/>
  <c r="E716" i="10"/>
  <c r="E766" i="10"/>
  <c r="E311" i="10"/>
  <c r="E688" i="10"/>
  <c r="E299" i="10"/>
  <c r="E98" i="10"/>
  <c r="E47" i="10"/>
  <c r="E330" i="10"/>
  <c r="E368" i="10"/>
  <c r="E101" i="10"/>
  <c r="E70" i="10"/>
  <c r="E90" i="10"/>
  <c r="E56" i="10"/>
  <c r="E54" i="10"/>
  <c r="E267" i="10"/>
  <c r="E199" i="10"/>
  <c r="E674" i="10"/>
  <c r="E300" i="10"/>
  <c r="E739" i="10"/>
  <c r="E205" i="10"/>
  <c r="E761" i="10"/>
  <c r="E353" i="10"/>
  <c r="E133" i="10"/>
  <c r="E229" i="10"/>
  <c r="E139" i="10"/>
  <c r="E274" i="10"/>
  <c r="E615" i="10"/>
  <c r="E565" i="10"/>
  <c r="E636" i="10"/>
  <c r="E572" i="10"/>
  <c r="E250" i="10"/>
  <c r="E765" i="10"/>
  <c r="E315" i="10"/>
  <c r="E746" i="10"/>
  <c r="E398" i="10"/>
  <c r="E236" i="10"/>
  <c r="E717" i="10"/>
  <c r="E114" i="10"/>
  <c r="E647" i="10"/>
  <c r="E764" i="10"/>
  <c r="E173" i="10"/>
  <c r="E776" i="10"/>
  <c r="E672" i="10"/>
  <c r="E690" i="10"/>
  <c r="E112" i="10"/>
  <c r="E237" i="10"/>
  <c r="E757" i="10"/>
  <c r="E514" i="10"/>
  <c r="E684" i="10"/>
  <c r="E282" i="10"/>
  <c r="E183" i="10"/>
  <c r="E289" i="10"/>
  <c r="E458" i="10"/>
  <c r="E275" i="10"/>
  <c r="E641" i="10"/>
  <c r="E687" i="10"/>
  <c r="E473" i="10"/>
  <c r="E452" i="10"/>
  <c r="E470" i="10"/>
  <c r="E758" i="10"/>
  <c r="E440" i="10"/>
  <c r="E358" i="10"/>
  <c r="E543" i="10"/>
  <c r="E224" i="10"/>
  <c r="E157" i="10"/>
  <c r="E95" i="10"/>
  <c r="E441" i="10"/>
  <c r="E302" i="10"/>
  <c r="E676" i="10"/>
  <c r="E661" i="10"/>
  <c r="E793" i="10"/>
  <c r="E163" i="10"/>
  <c r="E434" i="10"/>
  <c r="E639" i="10"/>
  <c r="E401" i="10"/>
  <c r="E117" i="10"/>
  <c r="E788" i="10"/>
  <c r="E325" i="10"/>
  <c r="E568" i="10"/>
  <c r="E367" i="10"/>
  <c r="E336" i="10"/>
  <c r="E525" i="10"/>
  <c r="E218" i="10"/>
  <c r="E616" i="10"/>
  <c r="E158" i="10"/>
  <c r="E357" i="10"/>
  <c r="E307" i="10"/>
  <c r="E632" i="10"/>
  <c r="E321" i="10"/>
  <c r="E736" i="10"/>
  <c r="E445" i="10"/>
  <c r="E532" i="10"/>
  <c r="E562" i="10"/>
  <c r="E185" i="10"/>
  <c r="E426" i="10"/>
  <c r="E329" i="10"/>
  <c r="E349" i="10"/>
  <c r="E503" i="10"/>
  <c r="E272" i="10"/>
  <c r="E559" i="10"/>
  <c r="E599" i="10"/>
  <c r="E227" i="10"/>
  <c r="E201" i="10"/>
  <c r="E340" i="10"/>
  <c r="E348" i="10"/>
  <c r="E530" i="10"/>
  <c r="E320" i="10"/>
  <c r="E386" i="10"/>
  <c r="E419" i="10"/>
  <c r="E371" i="10"/>
  <c r="E449" i="10"/>
  <c r="E253" i="10"/>
  <c r="E439" i="10"/>
  <c r="E589" i="10"/>
  <c r="E534" i="10"/>
  <c r="E773" i="10"/>
  <c r="E626" i="10"/>
  <c r="E709" i="10"/>
  <c r="E65" i="10"/>
  <c r="E96" i="10"/>
  <c r="E295" i="10"/>
  <c r="E337" i="10"/>
  <c r="E364" i="10"/>
  <c r="E602" i="10"/>
  <c r="E784" i="10"/>
  <c r="E108" i="10"/>
  <c r="E499" i="10"/>
  <c r="E770" i="10"/>
  <c r="E444" i="10"/>
  <c r="E509" i="10"/>
  <c r="E260" i="10"/>
  <c r="E234" i="10"/>
  <c r="E397" i="10"/>
  <c r="E780" i="10"/>
  <c r="E342" i="10"/>
  <c r="E279" i="10"/>
  <c r="E537" i="10"/>
  <c r="E379" i="10"/>
  <c r="E513" i="10"/>
  <c r="E437" i="10"/>
  <c r="E456" i="10"/>
  <c r="E541" i="10"/>
  <c r="E343" i="10"/>
  <c r="E281" i="10"/>
  <c r="E774" i="10"/>
  <c r="E214" i="10"/>
  <c r="E643" i="10"/>
  <c r="E345" i="10"/>
  <c r="E620" i="10"/>
  <c r="E187" i="10"/>
  <c r="E722" i="10"/>
  <c r="E724" i="10"/>
  <c r="E798" i="10"/>
  <c r="E351" i="10"/>
  <c r="E595" i="10"/>
  <c r="E268" i="10"/>
  <c r="E706" i="10"/>
  <c r="E564" i="10"/>
  <c r="E408" i="10"/>
  <c r="E107" i="10"/>
  <c r="E518" i="10"/>
  <c r="E783" i="10"/>
  <c r="E686" i="10"/>
  <c r="E478" i="10"/>
  <c r="E427" i="10"/>
  <c r="E651" i="10"/>
  <c r="E142" i="10"/>
  <c r="E344" i="10"/>
  <c r="E454" i="10"/>
  <c r="E251" i="10"/>
  <c r="E165" i="10"/>
  <c r="E129" i="10"/>
  <c r="E406" i="10"/>
  <c r="E482" i="10"/>
  <c r="E111" i="10"/>
  <c r="E548" i="10"/>
  <c r="E731" i="10"/>
  <c r="E186" i="10"/>
  <c r="E512" i="10"/>
  <c r="E334" i="10"/>
  <c r="E644" i="10"/>
  <c r="E498" i="10"/>
  <c r="E212" i="10"/>
  <c r="E396" i="10"/>
  <c r="E249" i="10"/>
  <c r="E384" i="10"/>
  <c r="E730" i="10"/>
  <c r="E104" i="10"/>
  <c r="E99" i="10"/>
  <c r="E69" i="10"/>
  <c r="E305" i="10"/>
  <c r="E745" i="10"/>
  <c r="E298" i="10"/>
  <c r="E741" i="10"/>
  <c r="E71" i="10"/>
  <c r="E63" i="10"/>
  <c r="E66" i="10"/>
  <c r="E72" i="10"/>
  <c r="E87" i="10"/>
  <c r="E61" i="10"/>
  <c r="E233" i="10"/>
  <c r="E147" i="10"/>
  <c r="E455" i="10"/>
  <c r="E160" i="10"/>
  <c r="E220" i="10"/>
  <c r="E209" i="10"/>
  <c r="E308" i="10"/>
  <c r="E459" i="10"/>
  <c r="E12" i="10"/>
  <c r="E500" i="10"/>
  <c r="E753" i="10"/>
  <c r="E755" i="10"/>
  <c r="E533" i="10"/>
  <c r="E322" i="10"/>
  <c r="E596" i="10"/>
  <c r="E557" i="10"/>
  <c r="E756" i="10"/>
  <c r="E204" i="10"/>
  <c r="E151" i="10"/>
  <c r="E290" i="10"/>
  <c r="E519" i="10"/>
  <c r="E546" i="10"/>
  <c r="E691" i="10"/>
  <c r="E78" i="10"/>
  <c r="E170" i="10"/>
  <c r="E610" i="10"/>
  <c r="E475" i="10"/>
  <c r="E544" i="10"/>
  <c r="E341" i="10"/>
  <c r="E649" i="10"/>
  <c r="E144" i="10"/>
  <c r="E428" i="10"/>
  <c r="E246" i="10"/>
  <c r="E462" i="10"/>
  <c r="E425" i="10"/>
  <c r="E124" i="10"/>
  <c r="E304" i="10"/>
  <c r="E466" i="10"/>
  <c r="E154" i="10"/>
  <c r="E481" i="10"/>
  <c r="E211" i="10"/>
  <c r="E486" i="10"/>
  <c r="E536" i="10"/>
  <c r="E177" i="10"/>
  <c r="E598" i="10"/>
  <c r="E374" i="10"/>
  <c r="E652" i="10"/>
  <c r="E495" i="10"/>
  <c r="E477" i="10"/>
  <c r="E303" i="10"/>
  <c r="E420" i="10"/>
  <c r="E659" i="10"/>
  <c r="E91" i="10"/>
  <c r="E542" i="10"/>
  <c r="E768" i="10"/>
  <c r="E323" i="10"/>
  <c r="E580" i="10"/>
  <c r="E174" i="10"/>
  <c r="E175" i="10"/>
  <c r="E624" i="10"/>
  <c r="E762" i="10"/>
  <c r="E680" i="10"/>
  <c r="E402" i="10"/>
  <c r="E409" i="10"/>
  <c r="E476" i="10"/>
  <c r="E361" i="10"/>
  <c r="E723" i="10"/>
  <c r="E718" i="10"/>
  <c r="E313" i="10"/>
  <c r="E623" i="10"/>
  <c r="E355" i="10"/>
  <c r="E380" i="10"/>
  <c r="E259" i="10"/>
  <c r="E263" i="10"/>
  <c r="E707" i="10"/>
  <c r="E506" i="10"/>
  <c r="E414" i="10"/>
  <c r="E326" i="10"/>
  <c r="E167" i="10"/>
  <c r="E584" i="10"/>
  <c r="E630" i="10"/>
  <c r="E663" i="10"/>
  <c r="E422" i="10"/>
  <c r="E708" i="10"/>
  <c r="E554" i="10"/>
  <c r="E378" i="10"/>
  <c r="E150" i="10"/>
  <c r="E468" i="10"/>
  <c r="E491" i="10"/>
  <c r="E80" i="10"/>
  <c r="E79" i="10"/>
  <c r="E312" i="10"/>
  <c r="E106" i="10"/>
  <c r="E82" i="10"/>
  <c r="E81" i="10"/>
  <c r="E16" i="10"/>
  <c r="E141" i="10"/>
  <c r="E76" i="10"/>
  <c r="E423" i="10"/>
  <c r="E239" i="10"/>
  <c r="E703" i="10"/>
  <c r="E735" i="10"/>
  <c r="E531" i="10"/>
  <c r="E232" i="10"/>
  <c r="E767" i="10"/>
  <c r="E604" i="10"/>
  <c r="E605" i="10"/>
  <c r="E653" i="10"/>
  <c r="E34" i="10"/>
  <c r="E188" i="10"/>
  <c r="E359" i="10"/>
  <c r="E666" i="10"/>
  <c r="E740" i="10"/>
  <c r="E354" i="10"/>
  <c r="E363" i="10"/>
  <c r="E566" i="10"/>
  <c r="E681" i="10"/>
  <c r="E588" i="10"/>
  <c r="E550" i="10"/>
  <c r="E256" i="10"/>
  <c r="E223" i="10"/>
  <c r="E433" i="10"/>
  <c r="E309" i="10"/>
  <c r="E243" i="10"/>
  <c r="E675" i="10"/>
  <c r="E366" i="10"/>
  <c r="E609" i="10"/>
  <c r="E64" i="10"/>
  <c r="E60" i="10"/>
  <c r="E50" i="10"/>
  <c r="E405" i="10"/>
  <c r="E102" i="10"/>
  <c r="E92" i="10"/>
  <c r="E74" i="10"/>
  <c r="E52" i="10"/>
  <c r="E53" i="10"/>
  <c r="E221" i="10"/>
  <c r="E592" i="10"/>
  <c r="E571" i="10"/>
  <c r="E600" i="10"/>
  <c r="E749" i="10"/>
  <c r="E451" i="10"/>
  <c r="E231" i="10"/>
  <c r="E417" i="10"/>
  <c r="E547" i="10"/>
  <c r="E743" i="10"/>
  <c r="E608" i="10"/>
  <c r="E215" i="10"/>
  <c r="E759" i="10"/>
  <c r="E412" i="10"/>
  <c r="E611" i="10"/>
  <c r="E646" i="10"/>
  <c r="E387" i="10"/>
  <c r="E189" i="10"/>
  <c r="E705" i="10"/>
  <c r="E421" i="10"/>
  <c r="E116" i="10"/>
  <c r="E721" i="10"/>
  <c r="E551" i="10"/>
  <c r="E587" i="10"/>
  <c r="E152" i="10"/>
  <c r="E381" i="10"/>
  <c r="E494" i="10"/>
  <c r="E704" i="10"/>
  <c r="E460" i="10"/>
  <c r="E241" i="10"/>
  <c r="E415" i="10"/>
  <c r="E635" i="10"/>
  <c r="E360" i="10"/>
  <c r="E714" i="10"/>
  <c r="E496" i="10"/>
  <c r="E507" i="10"/>
  <c r="E539" i="10"/>
  <c r="E93" i="10"/>
  <c r="E376" i="10"/>
  <c r="E216" i="10"/>
  <c r="E737" i="10"/>
  <c r="E734" i="10"/>
  <c r="E480" i="10"/>
  <c r="E683" i="10"/>
  <c r="E747" i="10"/>
  <c r="E347" i="10"/>
  <c r="E435" i="10"/>
  <c r="E744" i="10"/>
  <c r="E278" i="10"/>
  <c r="E228" i="10"/>
  <c r="E662" i="10"/>
  <c r="E490" i="10"/>
  <c r="E785" i="10"/>
  <c r="E121" i="10"/>
  <c r="E180" i="10"/>
  <c r="E782" i="10"/>
  <c r="E560" i="10"/>
  <c r="E733" i="10"/>
  <c r="E382" i="10"/>
  <c r="E140" i="10"/>
  <c r="E122" i="10"/>
  <c r="E484" i="10"/>
  <c r="E779" i="10"/>
  <c r="E579" i="10"/>
  <c r="E394" i="10"/>
  <c r="E443" i="10"/>
  <c r="E586" i="10"/>
  <c r="E657" i="10"/>
  <c r="E138" i="10"/>
  <c r="E264" i="10"/>
  <c r="E673" i="10"/>
  <c r="E502" i="10"/>
  <c r="E153" i="10"/>
  <c r="E638" i="10"/>
  <c r="E166" i="10"/>
  <c r="E135" i="10"/>
  <c r="E701" i="10"/>
  <c r="E634" i="10"/>
  <c r="E694" i="10"/>
  <c r="E161" i="10"/>
  <c r="E222" i="10"/>
  <c r="E391" i="10"/>
  <c r="E208" i="10"/>
  <c r="E317" i="10"/>
  <c r="E319" i="10"/>
  <c r="E225" i="10"/>
  <c r="E656" i="10"/>
  <c r="E574" i="10"/>
  <c r="E555" i="10"/>
  <c r="E522" i="10"/>
  <c r="E760" i="10"/>
  <c r="E497" i="10"/>
  <c r="E613" i="10"/>
  <c r="E693" i="10"/>
  <c r="E88" i="10"/>
  <c r="E796" i="10"/>
  <c r="E597" i="10"/>
  <c r="E67" i="10"/>
  <c r="E84" i="10"/>
  <c r="E89" i="10"/>
  <c r="C7" i="17"/>
  <c r="J4" i="1"/>
  <c r="G4" i="1"/>
  <c r="F24" i="1"/>
  <c r="G6" i="1" l="1"/>
  <c r="C4" i="3"/>
  <c r="C5" i="3" s="1"/>
  <c r="K7" i="2"/>
  <c r="Q7" i="2" s="1"/>
  <c r="G24" i="1"/>
  <c r="D4" i="1" s="1"/>
  <c r="D3" i="1"/>
  <c r="B3" i="10" s="1"/>
  <c r="J7" i="1"/>
  <c r="G3" i="1" l="1"/>
  <c r="B4" i="10"/>
  <c r="B5" i="10" s="1"/>
  <c r="B6" i="10" s="1"/>
  <c r="E1" i="1" s="1"/>
  <c r="D5" i="1"/>
  <c r="C22" i="3"/>
  <c r="D22" i="3" s="1"/>
  <c r="E16" i="3"/>
  <c r="E13" i="3"/>
  <c r="E8" i="3"/>
  <c r="C13" i="3"/>
  <c r="D13" i="3" s="1"/>
  <c r="E14" i="3"/>
  <c r="C8" i="3"/>
  <c r="D8" i="3" s="1"/>
  <c r="C11" i="3"/>
  <c r="D11" i="3" s="1"/>
  <c r="E12" i="3"/>
  <c r="C19" i="3"/>
  <c r="D19" i="3" s="1"/>
  <c r="C9" i="3"/>
  <c r="D9" i="3" s="1"/>
  <c r="C18" i="3"/>
  <c r="D18" i="3" s="1"/>
  <c r="E15" i="3"/>
  <c r="E11" i="3"/>
  <c r="C20" i="3"/>
  <c r="D20" i="3" s="1"/>
  <c r="C10" i="3"/>
  <c r="D10" i="3" s="1"/>
  <c r="C7" i="3"/>
  <c r="D7" i="3" s="1"/>
  <c r="E20" i="3"/>
  <c r="E10" i="3"/>
  <c r="C17" i="3"/>
  <c r="D17" i="3" s="1"/>
  <c r="E22" i="3"/>
  <c r="E19" i="3"/>
  <c r="C12" i="3"/>
  <c r="D12" i="3" s="1"/>
  <c r="C15" i="3"/>
  <c r="D15" i="3" s="1"/>
  <c r="E17" i="3"/>
  <c r="C21" i="3"/>
  <c r="D21" i="3" s="1"/>
  <c r="C16" i="3"/>
  <c r="D16" i="3" s="1"/>
  <c r="E18" i="3"/>
  <c r="E21" i="3"/>
  <c r="C14" i="3"/>
  <c r="D14" i="3" s="1"/>
  <c r="E9" i="3"/>
  <c r="E7" i="3"/>
  <c r="N20" i="2"/>
  <c r="I20" i="2" s="1"/>
  <c r="F28" i="1" s="1"/>
  <c r="N30" i="2"/>
  <c r="I30" i="2" s="1"/>
  <c r="F29" i="1" s="1"/>
  <c r="N70" i="2"/>
  <c r="I70" i="2" s="1"/>
  <c r="F33" i="1" s="1"/>
  <c r="N50" i="2"/>
  <c r="I50" i="2" s="1"/>
  <c r="F31" i="1" s="1"/>
  <c r="N60" i="2"/>
  <c r="I60" i="2" s="1"/>
  <c r="F32" i="1" s="1"/>
  <c r="N10" i="2"/>
  <c r="I10" i="2" s="1"/>
  <c r="F27" i="1" s="1"/>
  <c r="N80" i="2"/>
  <c r="I80" i="2" s="1"/>
  <c r="F34" i="1" s="1"/>
  <c r="N40" i="2"/>
  <c r="I40" i="2" s="1"/>
  <c r="F30" i="1" s="1"/>
  <c r="F35" i="1" l="1"/>
  <c r="D6" i="1" s="1"/>
  <c r="D7" i="1" s="1"/>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90 %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=ALS(F24&lt;1000,3;"0";SOM(G11:G22)+($G$8/30))
Hier staat de totale te bereiken EBC kleur waarde
</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H28" authorId="2" shapeId="0">
      <text>
        <r>
          <rPr>
            <sz val="9"/>
            <color indexed="81"/>
            <rFont val="Tahoma"/>
            <family val="2"/>
          </rPr>
          <t>De brouwer:
vrij te gebruiken voor aanvullende info voor je LOGBOEK.</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1"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2"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3"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4"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5"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6" authorId="0" shapeId="0">
      <text>
        <r>
          <rPr>
            <i/>
            <sz val="8"/>
            <color indexed="81"/>
            <rFont val="Comic Sans MS"/>
            <family val="4"/>
          </rPr>
          <t>Brouwland:</t>
        </r>
        <r>
          <rPr>
            <sz val="8"/>
            <color indexed="81"/>
            <rFont val="Tahoma"/>
            <family val="2"/>
          </rPr>
          <t xml:space="preserve">
</t>
        </r>
      </text>
    </comment>
    <comment ref="B37"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8"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39"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0"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1"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2"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3"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4"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5"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6"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7"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49"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0"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1"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2"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3"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4"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5"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6"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7" authorId="0" shapeId="0">
      <text>
        <r>
          <rPr>
            <i/>
            <sz val="8"/>
            <color indexed="81"/>
            <rFont val="Comic Sans MS"/>
            <family val="4"/>
          </rPr>
          <t>Brouwland:</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59"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0"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1"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3"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4"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5"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6"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7"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8"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0" authorId="0" shapeId="0">
      <text>
        <r>
          <rPr>
            <i/>
            <sz val="8"/>
            <color indexed="81"/>
            <rFont val="Comic Sans MS"/>
            <family val="4"/>
          </rPr>
          <t>Brouwland:</t>
        </r>
        <r>
          <rPr>
            <sz val="8"/>
            <color indexed="81"/>
            <rFont val="Tahoma"/>
            <family val="2"/>
          </rPr>
          <t xml:space="preserve">
</t>
        </r>
      </text>
    </comment>
    <comment ref="B71"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2"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3"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6"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7"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8"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79"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0"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1"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2"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3"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4"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5"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6"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7"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<sst xmlns="http://schemas.openxmlformats.org/spreadsheetml/2006/main" count="1520" uniqueCount="1093">
  <si>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</si>
  <si>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</si>
  <si>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</si>
  <si>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</si>
  <si>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</si>
  <si>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</si>
  <si>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</si>
  <si>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</si>
  <si>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</si>
  <si>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</si>
  <si>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</si>
  <si>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</si>
  <si>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</si>
  <si>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</si>
  <si>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</si>
  <si>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</si>
  <si>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</si>
  <si>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</si>
  <si>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</si>
  <si>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</si>
  <si>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</si>
  <si>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</si>
  <si>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</si>
  <si>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</si>
  <si>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</si>
  <si>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</si>
  <si>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</si>
  <si>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</si>
  <si>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</si>
  <si>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&lt;-- totalen --&gt;</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</si>
  <si>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</si>
  <si>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</si>
  <si>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</si>
  <si>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</si>
  <si>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</si>
  <si>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</si>
  <si>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</si>
  <si>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</si>
  <si>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</si>
  <si>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</si>
  <si>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</si>
  <si>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</si>
  <si>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</si>
  <si>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</si>
  <si>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</si>
  <si>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</si>
  <si>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</si>
  <si>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</si>
  <si>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</si>
  <si>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</si>
  <si>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</si>
  <si>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</si>
  <si>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</si>
  <si>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</si>
  <si>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</si>
  <si>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</si>
  <si>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</si>
  <si>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</si>
  <si>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</si>
  <si>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</si>
  <si>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</si>
  <si>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</si>
  <si>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</si>
  <si>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</si>
  <si>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</si>
  <si>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</si>
  <si>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</si>
  <si>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</si>
  <si>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</si>
  <si>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</si>
  <si>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</si>
  <si>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</si>
  <si>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</si>
  <si>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</si>
  <si>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</si>
  <si>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</si>
  <si>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</si>
  <si>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</si>
  <si>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</si>
  <si>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</si>
  <si>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</si>
  <si>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</si>
  <si>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</si>
  <si>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</si>
  <si>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</si>
  <si>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</si>
  <si>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</si>
  <si>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</si>
  <si>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</si>
  <si>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</si>
  <si>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</si>
  <si>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</si>
  <si>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</si>
  <si>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</si>
  <si>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</si>
  <si>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</si>
  <si>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</si>
  <si>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</si>
  <si>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</si>
  <si>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</si>
  <si>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</si>
  <si>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</si>
  <si>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</si>
  <si>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</si>
  <si>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</si>
  <si>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</si>
  <si>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</si>
  <si>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</si>
  <si>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</si>
  <si>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</si>
  <si>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</si>
  <si>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</si>
  <si>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</si>
  <si>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</si>
  <si>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</si>
  <si>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</si>
  <si>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</si>
  <si>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</si>
  <si>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</si>
  <si>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</si>
  <si>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</si>
  <si>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</si>
  <si>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</si>
  <si>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</si>
  <si>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</si>
  <si>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</si>
  <si>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</si>
  <si>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</si>
  <si>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</si>
  <si>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</si>
  <si>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</si>
  <si>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</si>
  <si>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</si>
  <si>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</si>
  <si>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</si>
  <si>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</si>
  <si>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</si>
  <si>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</si>
  <si>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</si>
  <si>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</si>
  <si>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</si>
  <si>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</si>
  <si>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</si>
  <si>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</si>
  <si>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</si>
  <si>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</si>
  <si>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</si>
  <si>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</si>
  <si>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</si>
  <si>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</si>
  <si>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</si>
  <si>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</si>
  <si>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</si>
  <si>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</si>
  <si>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</si>
  <si>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</si>
  <si>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</si>
  <si>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</si>
  <si>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</si>
  <si>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</si>
  <si>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</si>
  <si>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</si>
  <si>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</si>
  <si>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</si>
  <si>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</si>
  <si>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</si>
  <si>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</si>
  <si>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</si>
  <si>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</si>
  <si>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</si>
  <si>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</si>
  <si>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</si>
  <si>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</si>
  <si>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</si>
  <si>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</si>
  <si>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</si>
  <si>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</si>
  <si>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</si>
  <si>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</si>
  <si>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</si>
  <si>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</si>
  <si>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</si>
  <si>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 xml:space="preserve">verhoogd body (ook voor wijn)en houd langer de schuimkraag. </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</si>
  <si>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</si>
  <si>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</si>
  <si>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</si>
  <si>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</si>
  <si>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</si>
  <si>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</si>
  <si>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</si>
  <si>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</si>
  <si>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citroen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</si>
  <si>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</si>
  <si>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</si>
  <si>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</si>
  <si>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</si>
  <si>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</si>
  <si>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</si>
  <si>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</si>
  <si>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</si>
  <si>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</si>
  <si>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</si>
  <si>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</si>
  <si>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</si>
  <si>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</si>
  <si>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</si>
  <si>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</si>
  <si>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</si>
  <si>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</si>
  <si>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</si>
  <si>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</si>
  <si>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</si>
  <si>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</si>
  <si>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</si>
  <si>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</si>
  <si>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</si>
  <si>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</si>
  <si>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</si>
  <si>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</si>
  <si>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</si>
  <si>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</si>
  <si>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</si>
  <si>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</si>
  <si>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</si>
  <si>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</si>
  <si>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</si>
  <si>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</si>
  <si>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</si>
  <si>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</si>
  <si>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</si>
  <si>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</si>
  <si>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</si>
  <si>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</si>
  <si>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</si>
  <si>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</si>
  <si>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</si>
  <si>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</si>
  <si>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</si>
  <si>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</si>
  <si>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</si>
  <si>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</si>
  <si>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</si>
  <si>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</si>
  <si>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</si>
  <si>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</si>
  <si>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</si>
  <si>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</si>
  <si>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</si>
  <si>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</si>
  <si>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</si>
  <si>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</si>
  <si>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</si>
  <si>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</si>
  <si>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</si>
  <si>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</si>
  <si>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</si>
  <si>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</si>
  <si>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</si>
  <si>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</si>
  <si>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</si>
  <si>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</si>
  <si>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</si>
  <si>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</si>
  <si>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</si>
  <si>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</si>
  <si>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</si>
  <si>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</si>
  <si>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</si>
  <si>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</si>
  <si>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</si>
  <si>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</si>
  <si>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</si>
  <si>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</si>
  <si>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</si>
  <si>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</si>
  <si>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</si>
  <si>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</si>
  <si>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</si>
  <si>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</si>
  <si>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</si>
  <si>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</si>
  <si>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</si>
  <si>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</si>
  <si>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</si>
  <si>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</si>
  <si>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</si>
  <si>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</si>
  <si>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</si>
  <si>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</si>
  <si>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</si>
  <si>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</si>
  <si>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</si>
  <si>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</si>
  <si>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</si>
  <si>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</si>
  <si>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</si>
  <si>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</si>
  <si>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</si>
  <si>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</si>
  <si>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</si>
  <si>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</si>
  <si>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</si>
  <si>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</si>
  <si>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</si>
  <si>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</si>
  <si>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</si>
  <si>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</si>
  <si>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</si>
  <si>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</si>
  <si>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</si>
  <si>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</si>
  <si>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</si>
  <si>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</si>
  <si>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</si>
  <si>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</si>
  <si>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</si>
  <si>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</si>
  <si>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</si>
  <si>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</si>
  <si>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</si>
  <si>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</si>
  <si>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</si>
  <si>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</si>
  <si>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</si>
  <si>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</si>
  <si>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</si>
  <si>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</si>
  <si>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</si>
  <si>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</si>
  <si>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</si>
  <si>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</si>
  <si>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</si>
  <si>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</si>
  <si>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</si>
  <si>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</si>
  <si>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</si>
  <si>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</si>
  <si>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</si>
  <si>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</si>
  <si>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</si>
  <si>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</si>
  <si>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</si>
  <si>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</si>
  <si>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</si>
  <si>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</si>
  <si>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</si>
  <si>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</si>
  <si>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</si>
  <si>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</si>
  <si>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</si>
  <si>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</si>
  <si>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</si>
  <si>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</si>
  <si>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</si>
  <si>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</si>
  <si>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</si>
  <si>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</si>
  <si>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</si>
  <si>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</si>
  <si>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</si>
  <si>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</si>
  <si>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</si>
  <si>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</si>
  <si>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</si>
  <si>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</si>
  <si>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</si>
  <si>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</si>
  <si>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</si>
  <si>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</si>
  <si>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</si>
  <si>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</si>
  <si>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</si>
  <si>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</si>
  <si>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</si>
  <si>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</si>
  <si>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</si>
  <si>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</si>
  <si>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</si>
  <si>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</si>
  <si>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</si>
  <si>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</si>
  <si>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</si>
  <si>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</si>
  <si>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</si>
  <si>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</si>
  <si>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</si>
  <si>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</si>
  <si>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</si>
  <si>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</si>
  <si>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</si>
  <si>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bitter en sterk aromatisch</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</si>
  <si>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</si>
  <si>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</si>
  <si>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</si>
  <si>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</si>
  <si>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</si>
  <si>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</si>
  <si>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</si>
  <si>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</si>
  <si>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</si>
  <si>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</si>
  <si>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</si>
  <si>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</si>
  <si>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</si>
  <si>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</si>
  <si>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</si>
  <si>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</si>
  <si>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</si>
  <si>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</si>
  <si>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</si>
  <si>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</si>
  <si>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</si>
  <si>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</si>
  <si>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</si>
  <si>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</si>
  <si>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</si>
  <si>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</si>
  <si>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</si>
  <si>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</si>
  <si>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</si>
  <si>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</si>
  <si>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</si>
  <si>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</si>
  <si>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</si>
  <si>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</si>
  <si>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</si>
  <si>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</si>
  <si>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</si>
  <si>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</si>
  <si>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</si>
  <si>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</si>
  <si>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</si>
  <si>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</si>
  <si>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</si>
  <si>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</si>
  <si>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</si>
  <si>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</si>
  <si>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</si>
  <si>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</si>
  <si>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</si>
  <si>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</si>
  <si>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</si>
  <si>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</si>
  <si>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</si>
  <si>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</si>
  <si>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</si>
  <si>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</si>
  <si>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</si>
  <si>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</si>
  <si>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</si>
  <si>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</si>
  <si>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</si>
  <si>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</si>
  <si>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</si>
  <si>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</si>
  <si>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</si>
  <si>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</si>
  <si>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</si>
  <si>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</si>
  <si>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</si>
  <si>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</si>
  <si>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</si>
  <si>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</si>
  <si>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</si>
  <si>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</si>
  <si>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</si>
  <si>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</si>
  <si>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</si>
  <si>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</si>
  <si>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</si>
  <si>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</si>
  <si>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</si>
  <si>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</si>
  <si>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</si>
  <si>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</si>
  <si>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</si>
  <si>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</si>
  <si>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</si>
  <si>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</si>
  <si>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</si>
  <si>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</si>
  <si>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</si>
  <si>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</si>
  <si>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</si>
  <si>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</si>
  <si>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</si>
  <si>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</si>
  <si>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</si>
  <si>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</si>
  <si>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</si>
  <si>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</si>
  <si>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</si>
  <si>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</si>
  <si>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</si>
  <si>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</si>
  <si>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</si>
  <si>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</si>
  <si>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</si>
  <si>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</si>
  <si>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</si>
  <si>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</si>
  <si>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</si>
  <si>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</si>
  <si>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</si>
  <si>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</si>
  <si>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</si>
  <si>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</si>
  <si>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</si>
  <si>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</si>
  <si>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</si>
  <si>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</si>
  <si>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</si>
  <si>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</si>
  <si>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</si>
  <si>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</si>
  <si>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</si>
  <si>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</si>
  <si>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</si>
  <si>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</si>
  <si>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</si>
  <si>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</si>
  <si>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</si>
  <si>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</si>
  <si>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</si>
  <si>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</si>
  <si>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</si>
  <si>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</si>
  <si>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</si>
  <si>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</si>
  <si>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</si>
  <si>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</si>
  <si>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</si>
  <si>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</si>
  <si>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</si>
  <si>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</si>
  <si>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</si>
  <si>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</si>
  <si>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</si>
  <si>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</si>
  <si>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</si>
  <si>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</si>
  <si>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</si>
  <si>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</si>
  <si>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</si>
  <si>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</si>
  <si>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</si>
  <si>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</si>
  <si>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</si>
  <si>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</si>
  <si>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</si>
  <si>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</si>
  <si>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</si>
  <si>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</si>
  <si>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</si>
  <si>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</si>
  <si>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</si>
  <si>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</si>
  <si>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</si>
  <si>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</si>
  <si>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</si>
  <si>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</si>
  <si>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</si>
  <si>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</si>
  <si>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</si>
  <si>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</si>
  <si>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</si>
  <si>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</si>
  <si>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</si>
  <si>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</si>
  <si>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</si>
  <si>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</si>
  <si>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</si>
  <si>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</si>
  <si>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</si>
  <si>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</si>
  <si>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</si>
  <si>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</si>
  <si>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</si>
  <si>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</si>
  <si>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</si>
  <si>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</si>
  <si>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</si>
  <si>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</si>
  <si>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</si>
  <si>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</si>
  <si>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</si>
  <si>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</si>
  <si>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</si>
  <si>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</si>
  <si>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</si>
  <si>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</si>
  <si>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</si>
  <si>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</si>
  <si>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</si>
  <si>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</si>
  <si>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</si>
  <si>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</si>
  <si>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</si>
  <si>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</si>
  <si>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</si>
  <si>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</si>
  <si>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</si>
  <si>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</si>
  <si>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</si>
  <si>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</si>
  <si>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</si>
  <si>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</si>
  <si>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</si>
  <si>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</si>
  <si>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</si>
  <si>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</si>
  <si>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</si>
  <si>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</si>
  <si>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</si>
  <si>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</si>
  <si>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</si>
  <si>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</si>
  <si>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</si>
  <si>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</si>
  <si>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</si>
  <si>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</si>
  <si>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</si>
  <si>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</si>
  <si>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</si>
  <si>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</si>
  <si>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</si>
  <si>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</si>
  <si>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</si>
  <si>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</si>
  <si>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</si>
  <si>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</si>
  <si>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</si>
  <si>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</si>
  <si>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</si>
  <si>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</si>
  <si>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</si>
  <si>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</si>
  <si>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</si>
  <si>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</si>
  <si>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</si>
  <si>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</si>
  <si>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</si>
  <si>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</si>
  <si>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</si>
  <si>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</si>
  <si>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</si>
  <si>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</si>
  <si>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</si>
  <si>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</si>
  <si>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</si>
  <si>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</si>
  <si>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</si>
  <si>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</si>
  <si>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</si>
  <si>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</si>
  <si>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</si>
  <si>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</si>
  <si>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</si>
  <si>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</si>
  <si>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</si>
  <si>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</si>
  <si>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</si>
  <si>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</si>
  <si>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</si>
  <si>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</si>
  <si>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</si>
  <si>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</si>
  <si>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</si>
  <si>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</si>
  <si>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</si>
  <si>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</si>
  <si>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</si>
  <si>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</si>
  <si>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</si>
  <si>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</si>
  <si>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</si>
  <si>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</si>
  <si>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</si>
  <si>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</si>
  <si>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</si>
  <si>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</si>
  <si>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</si>
  <si>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</si>
  <si>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</si>
  <si>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</si>
  <si>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</si>
  <si>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</si>
  <si>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</si>
  <si>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</si>
  <si>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</si>
  <si>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</si>
  <si>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</si>
  <si>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</si>
  <si>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</si>
  <si>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</si>
  <si>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</si>
  <si>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</si>
  <si>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</si>
  <si>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</si>
  <si>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</si>
  <si>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</si>
  <si>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</si>
  <si>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</si>
  <si>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</si>
  <si>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</si>
  <si>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</si>
  <si>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</si>
  <si>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</si>
  <si>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</si>
  <si>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</si>
  <si>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</si>
  <si>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</si>
  <si>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</si>
  <si>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</si>
  <si>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</si>
  <si>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</si>
  <si>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</si>
  <si>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</si>
  <si>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</si>
  <si>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</si>
  <si>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</si>
  <si>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</si>
  <si>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</si>
  <si>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</si>
  <si>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</si>
  <si>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</si>
  <si>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</si>
  <si>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</si>
  <si>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</si>
  <si>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</si>
  <si>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</si>
  <si>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</si>
  <si>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</si>
  <si>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</si>
  <si>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</si>
  <si>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</si>
  <si>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</si>
  <si>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</si>
  <si>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</si>
  <si>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</si>
  <si>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</si>
  <si>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</si>
  <si>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</si>
  <si>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</si>
  <si>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</si>
  <si>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</si>
  <si>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</si>
  <si>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</si>
  <si>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</si>
  <si>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</si>
  <si>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</si>
  <si>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</si>
  <si>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</si>
  <si>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</si>
  <si>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</si>
  <si>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</si>
  <si>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</si>
  <si>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</si>
  <si>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</si>
  <si>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</si>
  <si>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</si>
  <si>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</si>
  <si>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</si>
  <si>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</si>
  <si>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</si>
  <si>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</si>
  <si>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</si>
  <si>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</si>
  <si>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</si>
  <si>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</si>
  <si>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</si>
  <si>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</si>
  <si>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</si>
  <si>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</si>
  <si>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</si>
  <si>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</si>
  <si>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</si>
  <si>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</si>
  <si>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</si>
  <si>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</si>
  <si>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</si>
  <si>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</si>
  <si>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</si>
  <si>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</si>
  <si>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</si>
  <si>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</si>
  <si>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</si>
  <si>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</si>
  <si>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</si>
  <si>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</si>
  <si>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</si>
  <si>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</si>
  <si>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</si>
  <si>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</si>
  <si>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</si>
  <si>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</si>
  <si>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</si>
  <si>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</si>
  <si>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</si>
  <si>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</si>
  <si>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</si>
  <si>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</si>
  <si>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</si>
  <si>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</si>
  <si>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</si>
  <si>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</si>
  <si>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</si>
  <si>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</si>
  <si>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</si>
  <si>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</si>
  <si>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</si>
  <si>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</si>
  <si>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</si>
  <si>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</si>
  <si>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</si>
  <si>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</si>
  <si>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</si>
  <si>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</si>
  <si>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</si>
  <si>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</si>
  <si>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</si>
  <si>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</si>
  <si>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</si>
  <si>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</si>
  <si>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</si>
  <si>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</si>
  <si>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</si>
  <si>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</si>
  <si>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</si>
  <si>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</si>
  <si>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</si>
  <si>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</si>
  <si>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</si>
  <si>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</si>
  <si>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</si>
  <si>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</si>
  <si>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</si>
  <si>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</si>
  <si>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</si>
  <si>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</si>
  <si>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</si>
  <si>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</si>
  <si>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</si>
  <si>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</si>
  <si>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</si>
  <si>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</si>
  <si>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</si>
  <si>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</si>
  <si>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</si>
  <si>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</si>
  <si>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</si>
  <si>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</si>
  <si>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</si>
  <si>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</si>
  <si>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</si>
  <si>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</si>
  <si>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</si>
  <si>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</si>
  <si>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</si>
  <si>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</si>
  <si>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</si>
  <si>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</si>
  <si>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</si>
  <si>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</si>
  <si>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</si>
  <si>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</si>
  <si>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</si>
  <si>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</si>
  <si>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</si>
  <si>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</si>
  <si>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</si>
  <si>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</si>
  <si>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</si>
  <si>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</si>
  <si>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</si>
  <si>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</si>
  <si>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</si>
  <si>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</si>
  <si>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</si>
  <si>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</si>
  <si>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</si>
  <si>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</si>
  <si>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</si>
  <si>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</si>
  <si>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</si>
  <si>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</si>
  <si>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</si>
  <si>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</si>
  <si>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</si>
  <si>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</si>
  <si>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</si>
  <si>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</si>
  <si>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</si>
  <si>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</si>
  <si>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</si>
  <si>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</si>
  <si>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</si>
  <si>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</si>
  <si>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</si>
  <si>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</si>
  <si>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</si>
  <si>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</si>
  <si>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</si>
  <si>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</si>
  <si>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</si>
  <si>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</si>
  <si>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</si>
  <si>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</si>
  <si>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</si>
  <si>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</si>
  <si>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</si>
  <si>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</si>
  <si>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</si>
  <si>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</si>
  <si>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</si>
  <si>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</si>
  <si>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</si>
  <si>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</si>
  <si>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</si>
  <si>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</si>
  <si>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</si>
  <si>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</si>
  <si>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</si>
  <si>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</si>
  <si>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</si>
  <si>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</si>
  <si>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</si>
  <si>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</si>
  <si>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</si>
  <si>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</si>
  <si>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</si>
  <si>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</si>
  <si>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</si>
  <si>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</si>
  <si>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</si>
  <si>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</si>
  <si>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</si>
  <si>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</si>
  <si>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</si>
  <si>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</si>
  <si>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</si>
  <si>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</si>
  <si>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</si>
  <si>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</si>
  <si>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</si>
  <si>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</si>
  <si>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</si>
  <si>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</si>
  <si>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</si>
  <si>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</si>
  <si>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</si>
  <si>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</si>
  <si>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</si>
  <si>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</si>
  <si>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</si>
  <si>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</si>
  <si>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</si>
  <si>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</si>
  <si>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</si>
  <si>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</si>
  <si>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</si>
  <si>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</si>
  <si>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</si>
  <si>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</si>
  <si>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</si>
  <si>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</si>
  <si>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</si>
  <si>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</si>
  <si>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</si>
  <si>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</si>
  <si>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</si>
  <si>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</si>
  <si>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</si>
  <si>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</si>
  <si>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</si>
  <si>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</si>
  <si>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</si>
  <si>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</si>
  <si>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</si>
  <si>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</si>
  <si>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</si>
  <si>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</si>
  <si>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</si>
  <si>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</si>
  <si>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</si>
  <si>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</si>
  <si>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</si>
  <si>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</si>
  <si>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</si>
  <si>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</si>
  <si>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</si>
  <si>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</si>
  <si>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</si>
  <si>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</si>
  <si>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</si>
  <si>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</si>
  <si>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</si>
  <si>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</si>
  <si>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</si>
  <si>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</si>
  <si>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</si>
  <si>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</si>
  <si>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</si>
  <si>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</si>
  <si>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</si>
  <si>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</si>
  <si>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</si>
  <si>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</si>
  <si>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</si>
  <si>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</si>
  <si>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</si>
  <si>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</si>
  <si>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</si>
  <si>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</si>
  <si>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</si>
  <si>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</si>
  <si>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</si>
  <si>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</si>
  <si>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</si>
  <si>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</si>
  <si>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</si>
  <si>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</si>
  <si>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</si>
  <si>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</si>
  <si>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</si>
  <si>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</si>
  <si>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</si>
  <si>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</si>
  <si>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</si>
  <si>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</si>
  <si>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</si>
  <si>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</si>
  <si>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</si>
  <si>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</si>
  <si>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</si>
  <si>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</si>
  <si>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</si>
  <si>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</si>
  <si>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</si>
  <si>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</si>
  <si>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</si>
  <si>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</si>
  <si>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</si>
  <si>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</si>
  <si>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</si>
  <si>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</si>
  <si>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</si>
  <si>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</si>
  <si>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</si>
  <si>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</si>
  <si>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</si>
  <si>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Vermenigvuldigings-factor</t>
  </si>
  <si>
    <t>Vul in willekeurige volgorde in
&lt; ----------&gt;</t>
  </si>
  <si>
    <t>basis  recept voor bv 20L</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</si>
  <si>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</si>
  <si>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</si>
  <si>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</si>
  <si>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t>niet</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</si>
  <si>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</si>
  <si>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</si>
  <si>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</si>
  <si>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</si>
  <si>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</si>
  <si>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</si>
  <si>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</si>
  <si>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</si>
  <si>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</si>
  <si>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</si>
  <si>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</si>
  <si>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</si>
  <si>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</si>
  <si>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</si>
  <si>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</si>
  <si>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</si>
  <si>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</si>
  <si>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</si>
  <si>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</si>
  <si>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</si>
  <si>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</si>
  <si>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Lallemand Abbaye</t>
  </si>
  <si>
    <t>Belgische abdijbieren Tipel, Dubbel</t>
  </si>
  <si>
    <t>1016</t>
  </si>
  <si>
    <t>1015</t>
  </si>
  <si>
    <t>Laatste update 9:  29 okt 2018                                        whp</t>
  </si>
  <si>
    <t>EBC berekening gecorrigeerd. Schijnbare vergisting instelbaar gemaakt</t>
  </si>
  <si>
    <t>Update 22 okt 2019  door WHP</t>
  </si>
  <si>
    <t>p</t>
  </si>
  <si>
    <t>Mangrove Jacks's M29</t>
  </si>
  <si>
    <t>24-26</t>
  </si>
  <si>
    <t>Wil Peters</t>
  </si>
  <si>
    <t>2017/3</t>
  </si>
  <si>
    <t>Weizenbock</t>
  </si>
  <si>
    <t>Weihenstephaner Vitus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</si>
</sst>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79"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rgb="FFFBC497"/>
        <bgColor indexed="64"/>
      </patternFill>
    </fill>
    <fill>
      <patternFill patternType="solid">
        <fgColor theme="0"/>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style="medium">
        <color indexed="64"/>
      </left>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bottom style="thin">
        <color indexed="8"/>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medium">
        <color indexed="8"/>
      </top>
      <bottom style="thin">
        <color indexed="64"/>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right/>
      <top style="thin">
        <color indexed="64"/>
      </top>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s>
  <cellStyleXfs count="2">
    <xf numFmtId="0" fontId="0" fillId="0" borderId="0"/>
    <xf numFmtId="0" fontId="10" fillId="0" borderId="0" applyNumberFormat="0" applyFill="0" applyBorder="0" applyAlignment="0" applyProtection="0"/>
  </cellStyleXfs>
  <cellXfs count="678">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NumberFormat="1" applyFont="1" applyFill="1" applyBorder="1" applyAlignment="1" applyProtection="1">
      <alignment horizontal="left" vertical="center" wrapText="1"/>
      <protection locked="0"/>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8" xfId="0"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1" xfId="0" applyNumberFormat="1" applyFont="1" applyFill="1" applyBorder="1" applyAlignment="1" applyProtection="1">
      <alignment horizontal="center" vertical="center"/>
      <protection locked="0"/>
    </xf>
    <xf numFmtId="193" fontId="1" fillId="12" borderId="92"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4"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5" xfId="0" applyNumberFormat="1" applyFont="1" applyFill="1" applyBorder="1" applyAlignment="1">
      <alignment horizontal="center" vertical="center"/>
    </xf>
    <xf numFmtId="184" fontId="46" fillId="15" borderId="96" xfId="0" applyNumberFormat="1" applyFont="1" applyFill="1" applyBorder="1" applyAlignment="1" applyProtection="1">
      <alignment horizontal="center" vertical="center"/>
      <protection locked="0"/>
    </xf>
    <xf numFmtId="49" fontId="23" fillId="0" borderId="97" xfId="0" applyNumberFormat="1" applyFont="1" applyFill="1" applyBorder="1" applyAlignment="1">
      <alignment horizontal="center" vertical="top" wrapText="1"/>
    </xf>
    <xf numFmtId="195" fontId="7" fillId="15" borderId="98" xfId="0" applyNumberFormat="1" applyFont="1" applyFill="1" applyBorder="1" applyAlignment="1" applyProtection="1">
      <alignment horizontal="center" vertical="center"/>
      <protection locked="0"/>
    </xf>
    <xf numFmtId="184" fontId="25" fillId="15" borderId="99" xfId="0" applyNumberFormat="1" applyFont="1" applyFill="1" applyBorder="1" applyAlignment="1" applyProtection="1">
      <alignment horizontal="center"/>
      <protection locked="0"/>
    </xf>
    <xf numFmtId="196" fontId="1" fillId="7" borderId="96" xfId="0" applyNumberFormat="1" applyFont="1" applyFill="1" applyBorder="1" applyAlignment="1" applyProtection="1">
      <alignment horizontal="center"/>
      <protection locked="0"/>
    </xf>
    <xf numFmtId="196" fontId="1" fillId="0" borderId="100"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3"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4" fontId="18" fillId="7" borderId="59" xfId="0" applyNumberFormat="1" applyFont="1" applyFill="1" applyBorder="1" applyAlignment="1" applyProtection="1">
      <alignment horizontal="center" vertical="center"/>
      <protection locked="0"/>
    </xf>
    <xf numFmtId="0" fontId="18" fillId="7" borderId="101" xfId="0" applyFont="1" applyFill="1" applyBorder="1" applyAlignment="1" applyProtection="1">
      <alignment horizontal="center" vertical="center"/>
      <protection locked="0"/>
    </xf>
    <xf numFmtId="49" fontId="55" fillId="20" borderId="0" xfId="0" applyNumberFormat="1" applyFont="1" applyFill="1" applyBorder="1" applyAlignment="1">
      <alignment wrapText="1"/>
    </xf>
    <xf numFmtId="0" fontId="0" fillId="0" borderId="0" xfId="0" applyAlignment="1">
      <alignment wrapText="1"/>
    </xf>
    <xf numFmtId="170" fontId="18" fillId="0" borderId="153" xfId="0" applyNumberFormat="1" applyFont="1" applyFill="1" applyBorder="1" applyAlignment="1" applyProtection="1">
      <alignment horizontal="center" vertical="center"/>
    </xf>
    <xf numFmtId="170" fontId="18" fillId="0" borderId="154" xfId="0" applyNumberFormat="1" applyFont="1" applyFill="1" applyBorder="1" applyAlignment="1" applyProtection="1">
      <alignment horizontal="center" vertical="center"/>
    </xf>
    <xf numFmtId="49" fontId="2" fillId="14" borderId="113" xfId="0" applyNumberFormat="1" applyFont="1" applyFill="1" applyBorder="1" applyAlignment="1">
      <alignment horizontal="center" vertical="center" wrapText="1"/>
    </xf>
    <xf numFmtId="49" fontId="2" fillId="14" borderId="15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45"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46"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56" xfId="0" applyFont="1" applyFill="1" applyBorder="1" applyAlignment="1">
      <alignment horizontal="center" vertical="center" wrapText="1"/>
    </xf>
    <xf numFmtId="0" fontId="9" fillId="2" borderId="157" xfId="0" applyFont="1" applyFill="1" applyBorder="1" applyAlignment="1">
      <alignment horizontal="center" vertical="center" wrapText="1"/>
    </xf>
    <xf numFmtId="0" fontId="9" fillId="2" borderId="158" xfId="0" applyFont="1" applyFill="1" applyBorder="1" applyAlignment="1">
      <alignment horizontal="center" vertical="center" wrapText="1"/>
    </xf>
    <xf numFmtId="0" fontId="9" fillId="2" borderId="159"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60" xfId="0" applyNumberFormat="1" applyFont="1" applyFill="1" applyBorder="1" applyAlignment="1" applyProtection="1">
      <alignment horizontal="center" wrapText="1"/>
    </xf>
    <xf numFmtId="195" fontId="7" fillId="15" borderId="98" xfId="0" applyNumberFormat="1" applyFont="1" applyFill="1" applyBorder="1" applyAlignment="1" applyProtection="1">
      <alignment horizontal="center" vertical="center"/>
      <protection locked="0"/>
    </xf>
    <xf numFmtId="195" fontId="7" fillId="15" borderId="132" xfId="0" applyNumberFormat="1" applyFont="1" applyFill="1" applyBorder="1" applyAlignment="1" applyProtection="1">
      <alignment horizontal="center" vertical="center"/>
      <protection locked="0"/>
    </xf>
    <xf numFmtId="194" fontId="7" fillId="11" borderId="161" xfId="0" applyNumberFormat="1" applyFont="1" applyFill="1" applyBorder="1" applyAlignment="1" applyProtection="1">
      <alignment horizontal="center" vertical="center" wrapText="1"/>
      <protection locked="0"/>
    </xf>
    <xf numFmtId="0" fontId="2" fillId="2" borderId="162" xfId="0" applyFont="1" applyFill="1" applyBorder="1" applyAlignment="1">
      <alignment horizontal="center" vertical="center" wrapText="1"/>
    </xf>
    <xf numFmtId="49" fontId="65" fillId="8" borderId="108"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09"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38" xfId="0" applyNumberFormat="1" applyFont="1" applyFill="1" applyBorder="1" applyAlignment="1">
      <alignment horizontal="center" vertical="center"/>
    </xf>
    <xf numFmtId="49" fontId="45" fillId="0" borderId="113"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45" xfId="0" applyNumberFormat="1" applyFont="1" applyFill="1" applyBorder="1" applyAlignment="1">
      <alignment horizontal="center" vertical="center" textRotation="90"/>
    </xf>
    <xf numFmtId="49" fontId="45" fillId="0" borderId="146"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47" xfId="0" applyNumberFormat="1" applyFont="1" applyFill="1" applyBorder="1" applyAlignment="1" applyProtection="1">
      <alignment horizontal="center" vertical="center"/>
      <protection locked="0"/>
    </xf>
    <xf numFmtId="49" fontId="5" fillId="12" borderId="148" xfId="0" applyNumberFormat="1" applyFont="1" applyFill="1" applyBorder="1" applyAlignment="1" applyProtection="1">
      <alignment horizontal="center" vertical="center"/>
      <protection locked="0"/>
    </xf>
    <xf numFmtId="2" fontId="25" fillId="5" borderId="117" xfId="0" applyNumberFormat="1" applyFont="1" applyFill="1" applyBorder="1" applyAlignment="1" applyProtection="1">
      <alignment horizontal="center" vertical="center"/>
      <protection locked="0"/>
    </xf>
    <xf numFmtId="2" fontId="25" fillId="5" borderId="118" xfId="0" applyNumberFormat="1" applyFont="1" applyFill="1" applyBorder="1" applyAlignment="1" applyProtection="1">
      <alignment horizontal="center" vertical="center"/>
      <protection locked="0"/>
    </xf>
    <xf numFmtId="164" fontId="1" fillId="2" borderId="102" xfId="0" applyNumberFormat="1" applyFont="1" applyFill="1" applyBorder="1" applyAlignment="1">
      <alignment horizontal="center" vertical="center"/>
    </xf>
    <xf numFmtId="164" fontId="1" fillId="2" borderId="97" xfId="0" applyNumberFormat="1" applyFont="1" applyFill="1" applyBorder="1" applyAlignment="1">
      <alignment horizontal="center" vertical="center"/>
    </xf>
    <xf numFmtId="2" fontId="25" fillId="5" borderId="130" xfId="0" applyNumberFormat="1" applyFont="1" applyFill="1" applyBorder="1" applyAlignment="1" applyProtection="1">
      <alignment horizontal="center" vertical="center"/>
      <protection locked="0"/>
    </xf>
    <xf numFmtId="2" fontId="25" fillId="5" borderId="98" xfId="0" applyNumberFormat="1" applyFont="1" applyFill="1" applyBorder="1" applyAlignment="1" applyProtection="1">
      <alignment horizontal="center" vertical="center"/>
      <protection locked="0"/>
    </xf>
    <xf numFmtId="2" fontId="25" fillId="5" borderId="133"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164" fontId="9" fillId="0" borderId="149" xfId="1" applyNumberFormat="1" applyFont="1" applyFill="1" applyBorder="1" applyAlignment="1" applyProtection="1">
      <alignment horizontal="center" vertical="center"/>
    </xf>
    <xf numFmtId="164" fontId="9" fillId="0" borderId="150" xfId="1" applyNumberFormat="1" applyFont="1" applyFill="1" applyBorder="1" applyAlignment="1" applyProtection="1">
      <alignment horizontal="center" vertical="center"/>
    </xf>
    <xf numFmtId="164" fontId="7" fillId="11" borderId="151" xfId="0" applyNumberFormat="1" applyFont="1" applyFill="1" applyBorder="1" applyAlignment="1" applyProtection="1">
      <alignment horizontal="center" vertical="center"/>
      <protection locked="0"/>
    </xf>
    <xf numFmtId="164" fontId="7" fillId="11" borderId="152"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42" xfId="0" applyFont="1" applyFill="1" applyBorder="1" applyAlignment="1">
      <alignment horizontal="center" vertical="center"/>
    </xf>
    <xf numFmtId="0" fontId="17" fillId="0" borderId="137" xfId="0" applyFont="1" applyFill="1" applyBorder="1" applyAlignment="1">
      <alignment horizontal="center" vertical="center"/>
    </xf>
    <xf numFmtId="0" fontId="17" fillId="0" borderId="135" xfId="0" applyFont="1" applyFill="1" applyBorder="1" applyAlignment="1">
      <alignment horizontal="center" vertical="center"/>
    </xf>
    <xf numFmtId="0" fontId="17" fillId="0" borderId="136" xfId="0" applyFont="1" applyFill="1" applyBorder="1" applyAlignment="1">
      <alignment horizontal="center" vertical="center"/>
    </xf>
    <xf numFmtId="164" fontId="17" fillId="0" borderId="139"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40" xfId="0" applyNumberFormat="1" applyFont="1" applyFill="1" applyBorder="1" applyAlignment="1">
      <alignment horizontal="center" vertical="center" wrapText="1"/>
    </xf>
    <xf numFmtId="49" fontId="17" fillId="0" borderId="141"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166" fontId="18" fillId="0" borderId="100"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35" xfId="0" applyNumberFormat="1" applyFont="1" applyFill="1" applyBorder="1" applyAlignment="1">
      <alignment horizontal="center" vertical="center"/>
    </xf>
    <xf numFmtId="164" fontId="17" fillId="0" borderId="136" xfId="0" applyNumberFormat="1" applyFont="1" applyFill="1" applyBorder="1" applyAlignment="1">
      <alignment horizontal="center" vertical="center"/>
    </xf>
    <xf numFmtId="166" fontId="1" fillId="19" borderId="100" xfId="0" applyNumberFormat="1" applyFont="1" applyFill="1" applyBorder="1" applyAlignment="1" applyProtection="1">
      <alignment horizontal="center" vertical="center"/>
      <protection locked="0"/>
    </xf>
    <xf numFmtId="166" fontId="1" fillId="19" borderId="62" xfId="0" applyNumberFormat="1" applyFont="1" applyFill="1" applyBorder="1" applyAlignment="1" applyProtection="1">
      <alignment horizontal="center" vertical="center"/>
      <protection locked="0"/>
    </xf>
    <xf numFmtId="0" fontId="17" fillId="0" borderId="137"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43" xfId="0" applyFont="1" applyFill="1" applyBorder="1" applyAlignment="1">
      <alignment horizontal="center" vertical="center"/>
    </xf>
    <xf numFmtId="0" fontId="17" fillId="0" borderId="144"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3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25" fillId="0" borderId="131" xfId="0" applyNumberFormat="1" applyFont="1" applyFill="1" applyBorder="1" applyAlignment="1" applyProtection="1">
      <alignment horizontal="center" vertical="center"/>
      <protection locked="0"/>
    </xf>
    <xf numFmtId="2" fontId="25" fillId="0" borderId="132" xfId="0" applyNumberFormat="1" applyFont="1" applyFill="1" applyBorder="1" applyAlignment="1" applyProtection="1">
      <alignment horizontal="center" vertical="center"/>
      <protection locked="0"/>
    </xf>
    <xf numFmtId="0" fontId="1" fillId="2" borderId="102" xfId="0" applyFont="1" applyFill="1" applyBorder="1" applyAlignment="1">
      <alignment horizontal="center" vertical="center"/>
    </xf>
    <xf numFmtId="0" fontId="1" fillId="2" borderId="97" xfId="0" applyFont="1" applyFill="1" applyBorder="1" applyAlignment="1">
      <alignment horizontal="center" vertical="center"/>
    </xf>
    <xf numFmtId="2" fontId="24" fillId="5" borderId="130" xfId="0" applyNumberFormat="1" applyFont="1" applyFill="1" applyBorder="1" applyAlignment="1" applyProtection="1">
      <alignment horizontal="center" vertical="center"/>
      <protection locked="0"/>
    </xf>
    <xf numFmtId="2" fontId="24" fillId="5" borderId="98" xfId="0" applyNumberFormat="1" applyFont="1" applyFill="1" applyBorder="1" applyAlignment="1" applyProtection="1">
      <alignment horizontal="center" vertical="center"/>
      <protection locked="0"/>
    </xf>
    <xf numFmtId="2" fontId="24" fillId="5" borderId="117" xfId="0" applyNumberFormat="1" applyFont="1" applyFill="1" applyBorder="1" applyAlignment="1" applyProtection="1">
      <alignment horizontal="center" vertical="center"/>
      <protection locked="0"/>
    </xf>
    <xf numFmtId="2" fontId="24" fillId="5" borderId="118" xfId="0" applyNumberFormat="1" applyFont="1" applyFill="1" applyBorder="1" applyAlignment="1" applyProtection="1">
      <alignment horizontal="center" vertical="center"/>
      <protection locked="0"/>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8" fillId="0" borderId="6" xfId="0" applyFont="1" applyFill="1" applyBorder="1" applyAlignment="1">
      <alignment horizontal="left" vertical="center"/>
    </xf>
    <xf numFmtId="0" fontId="18" fillId="0" borderId="4" xfId="0" applyFont="1" applyFill="1" applyBorder="1" applyAlignment="1">
      <alignment horizontal="right" vertical="center"/>
    </xf>
    <xf numFmtId="0" fontId="18" fillId="0" borderId="86" xfId="0" applyFont="1" applyFill="1" applyBorder="1" applyAlignment="1">
      <alignment horizontal="center" vertical="center"/>
    </xf>
    <xf numFmtId="0" fontId="25" fillId="0" borderId="102" xfId="0" applyFont="1" applyFill="1" applyBorder="1" applyAlignment="1">
      <alignment horizontal="center" vertical="center"/>
    </xf>
    <xf numFmtId="0" fontId="25" fillId="0" borderId="97" xfId="0" applyFont="1" applyFill="1" applyBorder="1" applyAlignment="1">
      <alignment horizontal="center" vertical="center"/>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0"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164" fontId="25" fillId="5" borderId="131" xfId="0" applyNumberFormat="1" applyFont="1" applyFill="1" applyBorder="1" applyAlignment="1" applyProtection="1">
      <alignment horizontal="center" vertical="center"/>
      <protection locked="0"/>
    </xf>
    <xf numFmtId="164" fontId="25" fillId="5" borderId="132" xfId="0" applyNumberFormat="1" applyFont="1" applyFill="1" applyBorder="1" applyAlignment="1" applyProtection="1">
      <alignment horizontal="center" vertical="center"/>
      <protection locked="0"/>
    </xf>
    <xf numFmtId="164" fontId="1" fillId="2" borderId="84" xfId="0" applyNumberFormat="1" applyFont="1" applyFill="1" applyBorder="1" applyAlignment="1">
      <alignment horizontal="center" vertical="center"/>
    </xf>
    <xf numFmtId="0" fontId="1" fillId="2" borderId="49" xfId="0" applyFont="1" applyFill="1" applyBorder="1" applyAlignment="1">
      <alignment horizontal="center" vertical="center" textRotation="90" wrapText="1"/>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xf>
    <xf numFmtId="164" fontId="25" fillId="5" borderId="117" xfId="0" applyNumberFormat="1" applyFont="1" applyFill="1" applyBorder="1" applyAlignment="1" applyProtection="1">
      <alignment horizontal="center" vertical="center"/>
      <protection locked="0"/>
    </xf>
    <xf numFmtId="164" fontId="25" fillId="5" borderId="118" xfId="0" applyNumberFormat="1" applyFont="1" applyFill="1" applyBorder="1" applyAlignment="1" applyProtection="1">
      <alignment horizontal="center" vertical="center"/>
      <protection locked="0"/>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08"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left"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42" fillId="0" borderId="125" xfId="0" applyFont="1" applyFill="1" applyBorder="1" applyAlignment="1">
      <alignment horizontal="left" vertical="center"/>
    </xf>
    <xf numFmtId="0" fontId="18" fillId="0" borderId="126" xfId="0" applyFont="1" applyFill="1" applyBorder="1" applyAlignment="1">
      <alignment horizontal="left" vertical="center"/>
    </xf>
    <xf numFmtId="165" fontId="18" fillId="5" borderId="93" xfId="0" applyNumberFormat="1"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90" fontId="18" fillId="5" borderId="108" xfId="0" applyNumberFormat="1" applyFont="1" applyFill="1" applyBorder="1" applyAlignment="1" applyProtection="1">
      <alignment horizontal="center" vertical="center"/>
      <protection locked="0"/>
    </xf>
    <xf numFmtId="190" fontId="18" fillId="5" borderId="109" xfId="0" applyNumberFormat="1" applyFont="1" applyFill="1" applyBorder="1" applyAlignment="1" applyProtection="1">
      <alignment horizontal="center" vertical="center"/>
      <protection locked="0"/>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08" xfId="0" applyNumberFormat="1" applyFont="1" applyFill="1" applyBorder="1" applyAlignment="1">
      <alignment horizontal="center" vertical="center"/>
    </xf>
    <xf numFmtId="164" fontId="1" fillId="2" borderId="127" xfId="0" applyNumberFormat="1" applyFont="1" applyFill="1" applyBorder="1" applyAlignment="1">
      <alignment horizontal="center" vertical="center"/>
    </xf>
    <xf numFmtId="0" fontId="1" fillId="0" borderId="106" xfId="0" applyFont="1" applyFill="1" applyBorder="1" applyAlignment="1">
      <alignment horizontal="left" vertical="center"/>
    </xf>
    <xf numFmtId="0" fontId="1" fillId="0" borderId="107" xfId="0" applyFont="1" applyFill="1" applyBorder="1" applyAlignment="1">
      <alignment horizontal="left" vertical="center"/>
    </xf>
    <xf numFmtId="0" fontId="1" fillId="9" borderId="106" xfId="0" applyFont="1" applyFill="1" applyBorder="1" applyAlignment="1">
      <alignment horizontal="left" vertical="center"/>
    </xf>
    <xf numFmtId="0" fontId="1" fillId="9" borderId="107" xfId="0" applyFont="1" applyFill="1" applyBorder="1" applyAlignment="1">
      <alignment horizontal="left" vertical="center"/>
    </xf>
    <xf numFmtId="177" fontId="18" fillId="5" borderId="108" xfId="0" applyNumberFormat="1" applyFont="1" applyFill="1" applyBorder="1" applyAlignment="1" applyProtection="1">
      <alignment horizontal="center" vertical="center"/>
      <protection locked="0"/>
    </xf>
    <xf numFmtId="177" fontId="18" fillId="5" borderId="109"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10"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11" xfId="0" applyFont="1" applyFill="1" applyBorder="1" applyAlignment="1">
      <alignment horizontal="center" vertical="center"/>
    </xf>
    <xf numFmtId="0" fontId="67" fillId="2" borderId="112" xfId="0" applyFont="1" applyFill="1" applyBorder="1" applyAlignment="1">
      <alignment horizontal="center" vertical="center"/>
    </xf>
    <xf numFmtId="164" fontId="25" fillId="0" borderId="113" xfId="0" applyNumberFormat="1" applyFont="1" applyFill="1" applyBorder="1" applyAlignment="1" applyProtection="1">
      <alignment horizontal="center" vertical="center" wrapText="1"/>
      <protection locked="0"/>
    </xf>
    <xf numFmtId="164" fontId="25" fillId="0" borderId="114"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13" xfId="0" applyNumberFormat="1" applyFont="1" applyFill="1" applyBorder="1" applyAlignment="1" applyProtection="1">
      <alignment horizontal="center" vertical="center"/>
      <protection locked="0"/>
    </xf>
    <xf numFmtId="164" fontId="18" fillId="0" borderId="114"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15" xfId="0" applyNumberFormat="1" applyFont="1" applyFill="1" applyBorder="1" applyAlignment="1" applyProtection="1">
      <alignment horizontal="center" vertical="center"/>
      <protection locked="0"/>
    </xf>
    <xf numFmtId="164" fontId="18" fillId="0" borderId="116" xfId="0" applyNumberFormat="1" applyFont="1" applyFill="1" applyBorder="1" applyAlignment="1" applyProtection="1">
      <alignment horizontal="center" vertical="center"/>
      <protection locked="0"/>
    </xf>
    <xf numFmtId="195" fontId="7" fillId="15" borderId="102"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03"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05"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7" xfId="0" applyNumberFormat="1" applyFont="1" applyFill="1" applyBorder="1" applyAlignment="1" applyProtection="1">
      <alignment horizontal="center" vertical="center"/>
      <protection locked="0"/>
    </xf>
    <xf numFmtId="164" fontId="25" fillId="5" borderId="0" xfId="0" applyNumberFormat="1" applyFont="1" applyFill="1" applyBorder="1" applyAlignment="1" applyProtection="1">
      <alignment horizontal="center" vertical="center"/>
      <protection locked="0"/>
    </xf>
    <xf numFmtId="164" fontId="25" fillId="5" borderId="42" xfId="0" applyNumberFormat="1" applyFont="1" applyFill="1" applyBorder="1" applyAlignment="1" applyProtection="1">
      <alignment horizontal="center" vertical="center"/>
      <protection locked="0"/>
    </xf>
    <xf numFmtId="49" fontId="18" fillId="5" borderId="67" xfId="0" applyNumberFormat="1" applyFont="1" applyFill="1" applyBorder="1" applyAlignment="1" applyProtection="1">
      <alignment horizontal="center" vertical="center"/>
      <protection locked="0"/>
    </xf>
    <xf numFmtId="0" fontId="1" fillId="2" borderId="128" xfId="0" applyFont="1" applyFill="1" applyBorder="1" applyAlignment="1">
      <alignment horizontal="center" wrapText="1"/>
    </xf>
    <xf numFmtId="0" fontId="1" fillId="2" borderId="129" xfId="0" applyFont="1" applyFill="1" applyBorder="1" applyAlignment="1">
      <alignment horizontal="center" wrapText="1"/>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4"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11"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4" xfId="0" applyNumberFormat="1" applyFont="1" applyFill="1" applyBorder="1" applyAlignment="1">
      <alignment horizontal="left" vertical="top"/>
    </xf>
    <xf numFmtId="49" fontId="42" fillId="0" borderId="165" xfId="0" applyNumberFormat="1" applyFont="1" applyBorder="1" applyAlignment="1" applyProtection="1">
      <alignment horizontal="left" vertical="top" wrapText="1"/>
      <protection locked="0"/>
    </xf>
    <xf numFmtId="49" fontId="42" fillId="0" borderId="155" xfId="0" applyNumberFormat="1" applyFont="1" applyBorder="1" applyAlignment="1" applyProtection="1">
      <alignment horizontal="left" vertical="top" wrapText="1"/>
      <protection locked="0"/>
    </xf>
    <xf numFmtId="49" fontId="42" fillId="0" borderId="114"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0" fontId="2" fillId="6" borderId="166" xfId="0" applyFont="1" applyFill="1" applyBorder="1" applyAlignment="1">
      <alignment horizontal="left"/>
    </xf>
    <xf numFmtId="0" fontId="2" fillId="6" borderId="167" xfId="0" applyFont="1" applyFill="1" applyBorder="1" applyAlignment="1">
      <alignment horizontal="left"/>
    </xf>
    <xf numFmtId="0" fontId="2" fillId="6" borderId="168"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2" fillId="6" borderId="139" xfId="0" applyFont="1" applyFill="1" applyBorder="1" applyAlignment="1">
      <alignment horizontal="left"/>
    </xf>
    <xf numFmtId="0" fontId="2" fillId="6" borderId="1" xfId="0" applyFont="1" applyFill="1" applyBorder="1" applyAlignment="1">
      <alignment horizontal="left"/>
    </xf>
    <xf numFmtId="0" fontId="2" fillId="6" borderId="138" xfId="0" applyFont="1" applyFill="1" applyBorder="1" applyAlignment="1">
      <alignment horizontal="left"/>
    </xf>
    <xf numFmtId="49" fontId="42" fillId="0" borderId="163"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4" xfId="0" applyNumberFormat="1" applyFont="1" applyBorder="1" applyAlignment="1" applyProtection="1">
      <alignment horizontal="left" vertical="top" wrapText="1"/>
      <protection locked="0"/>
    </xf>
    <xf numFmtId="49" fontId="42" fillId="0" borderId="101"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16"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101"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16" xfId="0" applyFont="1" applyFill="1" applyBorder="1" applyAlignment="1">
      <alignment horizontal="center" vertical="top" wrapText="1"/>
    </xf>
    <xf numFmtId="0" fontId="2" fillId="17" borderId="125" xfId="0" applyFont="1" applyFill="1" applyBorder="1" applyAlignment="1">
      <alignment horizontal="center" vertical="top" wrapText="1"/>
    </xf>
    <xf numFmtId="0" fontId="2" fillId="17" borderId="12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 fillId="0" borderId="13" xfId="0" applyFont="1" applyFill="1" applyBorder="1" applyAlignment="1">
      <alignment horizontal="center"/>
    </xf>
    <xf numFmtId="0" fontId="1" fillId="0" borderId="174" xfId="0" applyFont="1" applyFill="1" applyBorder="1" applyAlignment="1">
      <alignment horizontal="center" vertical="center"/>
    </xf>
    <xf numFmtId="0" fontId="1" fillId="0" borderId="175" xfId="0" applyFont="1" applyFill="1" applyBorder="1" applyAlignment="1">
      <alignment horizontal="center" vertical="center"/>
    </xf>
    <xf numFmtId="0" fontId="1" fillId="0" borderId="175" xfId="0" applyFont="1" applyBorder="1" applyAlignment="1">
      <alignment horizontal="center" vertical="center"/>
    </xf>
    <xf numFmtId="0" fontId="1" fillId="0" borderId="158" xfId="0" applyFont="1" applyFill="1" applyBorder="1" applyAlignment="1">
      <alignment horizontal="center" vertical="center"/>
    </xf>
    <xf numFmtId="0" fontId="25" fillId="0" borderId="172" xfId="0" applyNumberFormat="1" applyFont="1" applyFill="1" applyBorder="1" applyAlignment="1">
      <alignment horizontal="center" vertical="center"/>
    </xf>
    <xf numFmtId="0" fontId="31" fillId="0" borderId="160" xfId="0" applyNumberFormat="1" applyFont="1" applyFill="1" applyBorder="1" applyAlignment="1">
      <alignment horizontal="center" vertical="center"/>
    </xf>
    <xf numFmtId="0" fontId="33" fillId="0" borderId="173" xfId="0" applyFont="1"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1" xfId="0" applyNumberFormat="1" applyFont="1" applyFill="1" applyBorder="1" applyAlignment="1">
      <alignment horizontal="center" vertical="center"/>
    </xf>
    <xf numFmtId="0" fontId="0" fillId="0" borderId="22" xfId="0" applyFill="1" applyBorder="1" applyAlignment="1">
      <alignment horizontal="center"/>
    </xf>
    <xf numFmtId="49" fontId="20" fillId="6" borderId="113" xfId="0" applyNumberFormat="1" applyFont="1" applyFill="1" applyBorder="1" applyAlignment="1">
      <alignment horizontal="center" vertical="center" wrapText="1"/>
    </xf>
    <xf numFmtId="49" fontId="20" fillId="6" borderId="15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7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49" fontId="20" fillId="6" borderId="108"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09" xfId="0" applyNumberFormat="1" applyFont="1" applyFill="1" applyBorder="1" applyAlignment="1">
      <alignment horizontal="center" vertical="center" wrapText="1"/>
    </xf>
    <xf numFmtId="0" fontId="1" fillId="0" borderId="155" xfId="0" applyNumberFormat="1" applyFont="1" applyBorder="1" applyAlignment="1">
      <alignment vertical="center" wrapText="1"/>
    </xf>
    <xf numFmtId="0" fontId="0" fillId="0" borderId="15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45" xfId="0" applyBorder="1"/>
    <xf numFmtId="0" fontId="0" fillId="0" borderId="45" xfId="0" applyBorder="1"/>
    <xf numFmtId="0" fontId="0" fillId="0" borderId="146" xfId="0" applyBorder="1"/>
    <xf numFmtId="0" fontId="1" fillId="0" borderId="108" xfId="0" applyFont="1" applyBorder="1" applyAlignment="1">
      <alignment vertical="top" wrapText="1"/>
    </xf>
    <xf numFmtId="0" fontId="1" fillId="0" borderId="50" xfId="0" applyFont="1" applyBorder="1" applyAlignment="1">
      <alignment vertical="top" wrapText="1"/>
    </xf>
    <xf numFmtId="0" fontId="1" fillId="0" borderId="109" xfId="0" applyFont="1" applyBorder="1" applyAlignment="1">
      <alignment vertical="top" wrapText="1"/>
    </xf>
    <xf numFmtId="0" fontId="17" fillId="0" borderId="113" xfId="0" applyFont="1" applyBorder="1" applyAlignment="1">
      <alignment horizontal="left" vertical="top" wrapText="1"/>
    </xf>
    <xf numFmtId="0" fontId="17" fillId="0" borderId="155" xfId="0" applyFont="1" applyBorder="1" applyAlignment="1">
      <alignment horizontal="left" vertical="top" wrapText="1"/>
    </xf>
    <xf numFmtId="0" fontId="17" fillId="0" borderId="43" xfId="0" applyFont="1" applyBorder="1" applyAlignment="1">
      <alignment horizontal="left" vertical="top" wrapText="1"/>
    </xf>
    <xf numFmtId="0" fontId="17" fillId="0" borderId="145" xfId="0" applyFont="1" applyBorder="1" applyAlignment="1">
      <alignment horizontal="left" vertical="top" wrapText="1"/>
    </xf>
    <xf numFmtId="0" fontId="17" fillId="0" borderId="45" xfId="0" applyFont="1" applyBorder="1" applyAlignment="1">
      <alignment horizontal="left" vertical="top" wrapText="1"/>
    </xf>
    <xf numFmtId="0" fontId="17" fillId="0" borderId="146" xfId="0" applyFont="1" applyBorder="1" applyAlignment="1">
      <alignment horizontal="left" vertical="top" wrapText="1"/>
    </xf>
    <xf numFmtId="0" fontId="0" fillId="0" borderId="155" xfId="0" applyBorder="1" applyAlignment="1">
      <alignment horizontal="left" vertical="top" wrapText="1"/>
    </xf>
    <xf numFmtId="0" fontId="0" fillId="0" borderId="43" xfId="0" applyBorder="1" applyAlignment="1">
      <alignment horizontal="left" vertical="top" wrapText="1"/>
    </xf>
    <xf numFmtId="0" fontId="0" fillId="0" borderId="145" xfId="0" applyBorder="1" applyAlignment="1">
      <alignment horizontal="left" vertical="top" wrapText="1"/>
    </xf>
    <xf numFmtId="0" fontId="0" fillId="0" borderId="45" xfId="0" applyBorder="1" applyAlignment="1">
      <alignment horizontal="left" vertical="top" wrapText="1"/>
    </xf>
    <xf numFmtId="0" fontId="0" fillId="0" borderId="146" xfId="0"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597"/>
          <c:h val="0.78134222015963828"/>
        </c:manualLayout>
      </c:layout>
      <c:areaChart>
        <c:grouping val="stacked"/>
        <c:varyColors val="0"/>
        <c:ser>
          <c:idx val="0"/>
          <c:order val="0"/>
          <c:tx>
            <c:v>Maischschema grafisch</c:v>
          </c:tx>
          <c:spPr>
            <a:blipFill dpi="0" rotWithShape="0">
              <a:blip xmlns:r="http://schemas.openxmlformats.org/officeDocument/2006/relationships" r:embed="rId1"/>
              <a:srcRect/>
              <a:tile tx="0" ty="0" sx="100000" sy="100000" flip="none" algn="tl"/>
            </a:blipFill>
            <a:ln w="12700">
              <a:solidFill>
                <a:srgbClr val="000000"/>
              </a:solidFill>
              <a:prstDash val="solid"/>
            </a:ln>
          </c:spPr>
          <c:cat>
            <c:numRef>
              <c:f>tabellen!$E$4:$E$19</c:f>
              <c:numCache>
                <c:formatCode>0</c:formatCode>
                <c:ptCount val="16"/>
                <c:pt idx="0">
                  <c:v>0</c:v>
                </c:pt>
                <c:pt idx="1">
                  <c:v>10</c:v>
                </c:pt>
                <c:pt idx="2">
                  <c:v>16</c:v>
                </c:pt>
                <c:pt idx="3">
                  <c:v>26</c:v>
                </c:pt>
                <c:pt idx="4">
                  <c:v>38</c:v>
                </c:pt>
                <c:pt idx="5">
                  <c:v>68</c:v>
                </c:pt>
                <c:pt idx="6">
                  <c:v>78</c:v>
                </c:pt>
                <c:pt idx="7">
                  <c:v>98</c:v>
                </c:pt>
                <c:pt idx="8">
                  <c:v>104</c:v>
                </c:pt>
                <c:pt idx="9">
                  <c:v>109</c:v>
                </c:pt>
                <c:pt idx="10">
                  <c:v>109</c:v>
                </c:pt>
                <c:pt idx="11">
                  <c:v>169</c:v>
                </c:pt>
                <c:pt idx="12">
                  <c:v>203</c:v>
                </c:pt>
                <c:pt idx="13">
                  <c:v>278</c:v>
                </c:pt>
                <c:pt idx="14">
                  <c:v>278</c:v>
                </c:pt>
                <c:pt idx="15">
                  <c:v>318</c:v>
                </c:pt>
              </c:numCache>
            </c:numRef>
          </c:cat>
          <c:val>
            <c:numRef>
              <c:f>tabellen!$D$4:$D$19</c:f>
              <c:numCache>
                <c:formatCode>General</c:formatCode>
                <c:ptCount val="16"/>
                <c:pt idx="0">
                  <c:v>44</c:v>
                </c:pt>
                <c:pt idx="1">
                  <c:v>44</c:v>
                </c:pt>
                <c:pt idx="2">
                  <c:v>50</c:v>
                </c:pt>
                <c:pt idx="3">
                  <c:v>50</c:v>
                </c:pt>
                <c:pt idx="4">
                  <c:v>62</c:v>
                </c:pt>
                <c:pt idx="5">
                  <c:v>62</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46AD-4CD5-9226-E93E3D5790A2}"/>
            </c:ext>
          </c:extLst>
        </c:ser>
        <c:dLbls>
          <c:showLegendKey val="0"/>
          <c:showVal val="0"/>
          <c:showCatName val="0"/>
          <c:showSerName val="0"/>
          <c:showPercent val="0"/>
          <c:showBubbleSize val="0"/>
        </c:dLbls>
        <c:axId val="295529000"/>
        <c:axId val="1"/>
      </c:areaChart>
      <c:dateAx>
        <c:axId val="295529000"/>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02"/>
              <c:y val="0.91545311938048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1"/>
        <c:crosses val="autoZero"/>
        <c:auto val="0"/>
        <c:lblOffset val="100"/>
        <c:baseTimeUnit val="days"/>
        <c:majorUnit val="30"/>
        <c:majorTimeUnit val="days"/>
        <c:minorUnit val="10"/>
        <c:minorTimeUnit val="days"/>
      </c:date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24E-2"/>
              <c:y val="0.29446094748360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295529000"/>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54"/>
          <c:y val="2.835538752362949E-2"/>
        </c:manualLayout>
      </c:layout>
      <c:overlay val="0"/>
      <c:spPr>
        <a:noFill/>
        <a:ln w="25400">
          <a:noFill/>
        </a:ln>
      </c:spPr>
    </c:title>
    <c:autoTitleDeleted val="0"/>
    <c:plotArea>
      <c:layout>
        <c:manualLayout>
          <c:layoutTarget val="inner"/>
          <c:xMode val="edge"/>
          <c:yMode val="edge"/>
          <c:x val="0.15667326209016683"/>
          <c:y val="0.15500959487387286"/>
          <c:w val="0.65570661541440189"/>
          <c:h val="0.68998173328004386"/>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15.481100700000013</c:v>
                </c:pt>
                <c:pt idx="1">
                  <c:v>13.932990630000011</c:v>
                </c:pt>
                <c:pt idx="2">
                  <c:v>12.384880560000012</c:v>
                </c:pt>
                <c:pt idx="3">
                  <c:v>10.836770490000008</c:v>
                </c:pt>
                <c:pt idx="4">
                  <c:v>9.2886604200000082</c:v>
                </c:pt>
                <c:pt idx="5">
                  <c:v>7.7405503500000066</c:v>
                </c:pt>
                <c:pt idx="6">
                  <c:v>6.1924402800000058</c:v>
                </c:pt>
                <c:pt idx="7">
                  <c:v>5.8828182660000055</c:v>
                </c:pt>
                <c:pt idx="8">
                  <c:v>5.7280072590000044</c:v>
                </c:pt>
                <c:pt idx="9">
                  <c:v>5.5731962520000042</c:v>
                </c:pt>
                <c:pt idx="10">
                  <c:v>5.4183852450000041</c:v>
                </c:pt>
                <c:pt idx="11">
                  <c:v>5.2635742380000039</c:v>
                </c:pt>
                <c:pt idx="12">
                  <c:v>5.1087632310000037</c:v>
                </c:pt>
                <c:pt idx="13">
                  <c:v>4.9539522240000036</c:v>
                </c:pt>
                <c:pt idx="14">
                  <c:v>4.7991412170000052</c:v>
                </c:pt>
                <c:pt idx="15">
                  <c:v>4.644330210000005</c:v>
                </c:pt>
              </c:numCache>
            </c:numRef>
          </c:yVal>
          <c:smooth val="1"/>
          <c:extLst>
            <c:ext xmlns:c16="http://schemas.microsoft.com/office/drawing/2014/chart" uri="{C3380CC4-5D6E-409C-BE32-E72D297353CC}">
              <c16:uniqueId val="{00000000-C5F1-4FBB-B0AF-4D0D166DDB9B}"/>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15.481100700000013</c:v>
                </c:pt>
                <c:pt idx="1">
                  <c:v>14.268543487672511</c:v>
                </c:pt>
                <c:pt idx="2">
                  <c:v>13.055986275345012</c:v>
                </c:pt>
                <c:pt idx="3">
                  <c:v>11.84342906301751</c:v>
                </c:pt>
                <c:pt idx="4">
                  <c:v>10.63087185069001</c:v>
                </c:pt>
                <c:pt idx="5">
                  <c:v>9.4183146383625083</c:v>
                </c:pt>
                <c:pt idx="6">
                  <c:v>8.2057574260350066</c:v>
                </c:pt>
                <c:pt idx="7">
                  <c:v>7.9632459835695073</c:v>
                </c:pt>
                <c:pt idx="8">
                  <c:v>7.8419902623367559</c:v>
                </c:pt>
                <c:pt idx="9">
                  <c:v>7.7207345411040063</c:v>
                </c:pt>
                <c:pt idx="10">
                  <c:v>7.5994788198712557</c:v>
                </c:pt>
                <c:pt idx="11">
                  <c:v>7.4782230986385061</c:v>
                </c:pt>
                <c:pt idx="12">
                  <c:v>7.3569673774057556</c:v>
                </c:pt>
                <c:pt idx="13">
                  <c:v>7.2357116561730059</c:v>
                </c:pt>
                <c:pt idx="14">
                  <c:v>7.1144559349402563</c:v>
                </c:pt>
                <c:pt idx="15">
                  <c:v>6.9932002137075067</c:v>
                </c:pt>
              </c:numCache>
            </c:numRef>
          </c:yVal>
          <c:smooth val="1"/>
          <c:extLst>
            <c:ext xmlns:c16="http://schemas.microsoft.com/office/drawing/2014/chart" uri="{C3380CC4-5D6E-409C-BE32-E72D297353CC}">
              <c16:uniqueId val="{00000001-C5F1-4FBB-B0AF-4D0D166DDB9B}"/>
            </c:ext>
          </c:extLst>
        </c:ser>
        <c:dLbls>
          <c:showLegendKey val="0"/>
          <c:showVal val="0"/>
          <c:showCatName val="0"/>
          <c:showSerName val="0"/>
          <c:showPercent val="0"/>
          <c:showBubbleSize val="0"/>
        </c:dLbls>
        <c:axId val="295527032"/>
        <c:axId val="1"/>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1.0006795129277575</c:v>
                </c:pt>
                <c:pt idx="2">
                  <c:v>2.001359025855515</c:v>
                </c:pt>
                <c:pt idx="3">
                  <c:v>3.002038538783272</c:v>
                </c:pt>
                <c:pt idx="4">
                  <c:v>4.0027180517110299</c:v>
                </c:pt>
                <c:pt idx="5">
                  <c:v>5.0033975646387869</c:v>
                </c:pt>
                <c:pt idx="6">
                  <c:v>6.004077077566544</c:v>
                </c:pt>
                <c:pt idx="7">
                  <c:v>6.2042129801520955</c:v>
                </c:pt>
                <c:pt idx="8">
                  <c:v>6.3042809314448727</c:v>
                </c:pt>
                <c:pt idx="9">
                  <c:v>6.404348882737648</c:v>
                </c:pt>
                <c:pt idx="10">
                  <c:v>6.5044168340304243</c:v>
                </c:pt>
                <c:pt idx="11">
                  <c:v>6.6044847853231987</c:v>
                </c:pt>
                <c:pt idx="12">
                  <c:v>6.704552736615975</c:v>
                </c:pt>
                <c:pt idx="13">
                  <c:v>6.8046206879087512</c:v>
                </c:pt>
                <c:pt idx="14">
                  <c:v>6.9046886392015265</c:v>
                </c:pt>
                <c:pt idx="15">
                  <c:v>7.0047565904943019</c:v>
                </c:pt>
              </c:numCache>
            </c:numRef>
          </c:yVal>
          <c:smooth val="1"/>
          <c:extLst>
            <c:ext xmlns:c16="http://schemas.microsoft.com/office/drawing/2014/chart" uri="{C3380CC4-5D6E-409C-BE32-E72D297353CC}">
              <c16:uniqueId val="{00000002-C5F1-4FBB-B0AF-4D0D166DDB9B}"/>
            </c:ext>
          </c:extLst>
        </c:ser>
        <c:dLbls>
          <c:showLegendKey val="0"/>
          <c:showVal val="0"/>
          <c:showCatName val="0"/>
          <c:showSerName val="0"/>
          <c:showPercent val="0"/>
          <c:showBubbleSize val="0"/>
        </c:dLbls>
        <c:axId val="3"/>
        <c:axId val="4"/>
      </c:scatterChart>
      <c:valAx>
        <c:axId val="29552703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69"/>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1"/>
        <c:crossesAt val="0"/>
        <c:crossBetween val="midCat"/>
        <c:majorUnit val="0.1"/>
        <c:minorUnit val="0.05"/>
      </c:valAx>
      <c:valAx>
        <c:axId val="1"/>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421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295527032"/>
        <c:crossesAt val="0"/>
        <c:crossBetween val="midCat"/>
        <c:majorUnit val="2"/>
      </c:valAx>
      <c:valAx>
        <c:axId val="3"/>
        <c:scaling>
          <c:orientation val="minMax"/>
        </c:scaling>
        <c:delete val="0"/>
        <c:axPos val="b"/>
        <c:numFmt formatCode="0%" sourceLinked="1"/>
        <c:majorTickMark val="none"/>
        <c:minorTickMark val="none"/>
        <c:tickLblPos val="none"/>
        <c:spPr>
          <a:ln w="3175">
            <a:solidFill>
              <a:srgbClr val="FFFFFF"/>
            </a:solidFill>
            <a:prstDash val="solid"/>
          </a:ln>
        </c:spPr>
        <c:crossAx val="4"/>
        <c:crosses val="autoZero"/>
        <c:crossBetween val="midCat"/>
      </c:valAx>
      <c:valAx>
        <c:axId val="4"/>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4"/>
              <c:y val="0.40075654059310639"/>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
        <c:crosses val="max"/>
        <c:crossBetween val="midCat"/>
        <c:majorUnit val="1"/>
      </c:valAx>
      <c:spPr>
        <a:noFill/>
        <a:ln w="3175">
          <a:solidFill>
            <a:srgbClr val="FFFFFF"/>
          </a:solidFill>
          <a:prstDash val="solid"/>
        </a:ln>
      </c:spPr>
    </c:plotArea>
    <c:legend>
      <c:legendPos val="r"/>
      <c:layout>
        <c:manualLayout>
          <c:xMode val="edge"/>
          <c:yMode val="edge"/>
          <c:x val="7.7372078973687294E-2"/>
          <c:y val="0.9527723779329097"/>
          <c:w val="0.72536265655381094"/>
          <c:h val="4.1589290941656865E-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421228" name="Chart 301">
          <a:extLst>
            <a:ext uri="{FF2B5EF4-FFF2-40B4-BE49-F238E27FC236}">
              <a16:creationId xmlns:a16="http://schemas.microsoft.com/office/drawing/2014/main" id="{A42D6BE9-11A2-4160-B779-BEDEFD149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421229" name="Text Box 307">
          <a:extLst>
            <a:ext uri="{FF2B5EF4-FFF2-40B4-BE49-F238E27FC236}">
              <a16:creationId xmlns:a16="http://schemas.microsoft.com/office/drawing/2014/main" id="{784FC5DF-98E3-497F-9B95-D297EE83F5D5}"/>
            </a:ext>
          </a:extLst>
        </xdr:cNvPr>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421230" name="Group 372">
          <a:extLst>
            <a:ext uri="{FF2B5EF4-FFF2-40B4-BE49-F238E27FC236}">
              <a16:creationId xmlns:a16="http://schemas.microsoft.com/office/drawing/2014/main" id="{EBDF3DBD-2BE4-425B-9EF9-337E5CA4EBC5}"/>
            </a:ext>
          </a:extLst>
        </xdr:cNvPr>
        <xdr:cNvGrpSpPr>
          <a:grpSpLocks/>
        </xdr:cNvGrpSpPr>
      </xdr:nvGrpSpPr>
      <xdr:grpSpPr bwMode="auto">
        <a:xfrm>
          <a:off x="8724900" y="2905125"/>
          <a:ext cx="600075" cy="819150"/>
          <a:chOff x="1630" y="165"/>
          <a:chExt cx="63" cy="86"/>
        </a:xfrm>
      </xdr:grpSpPr>
      <xdr:sp macro="" textlink="">
        <xdr:nvSpPr>
          <xdr:cNvPr id="421240" name="AutoShape 2">
            <a:extLst>
              <a:ext uri="{FF2B5EF4-FFF2-40B4-BE49-F238E27FC236}">
                <a16:creationId xmlns:a16="http://schemas.microsoft.com/office/drawing/2014/main" id="{77DA420B-61BB-4C1D-9009-33C614F54732}"/>
              </a:ext>
            </a:extLst>
          </xdr:cNvPr>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a:extLst>
              <a:ext uri="{FF2B5EF4-FFF2-40B4-BE49-F238E27FC236}">
                <a16:creationId xmlns:a16="http://schemas.microsoft.com/office/drawing/2014/main" id="{805E8677-E685-4C4B-92BC-329CC55BEF7A}"/>
              </a:ext>
            </a:extLst>
          </xdr:cNvPr>
          <xdr:cNvSpPr txBox="1">
            <a:spLocks noChangeArrowheads="1"/>
          </xdr:cNvSpPr>
        </xdr:nvSpPr>
        <xdr:spPr bwMode="auto">
          <a:xfrm>
            <a:off x="1649" y="187"/>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421231" name="Group 371">
          <a:extLst>
            <a:ext uri="{FF2B5EF4-FFF2-40B4-BE49-F238E27FC236}">
              <a16:creationId xmlns:a16="http://schemas.microsoft.com/office/drawing/2014/main" id="{560D9E7F-7654-407F-B8B0-03B717E72CFD}"/>
            </a:ext>
          </a:extLst>
        </xdr:cNvPr>
        <xdr:cNvGrpSpPr>
          <a:grpSpLocks/>
        </xdr:cNvGrpSpPr>
      </xdr:nvGrpSpPr>
      <xdr:grpSpPr bwMode="auto">
        <a:xfrm>
          <a:off x="8724900" y="6638925"/>
          <a:ext cx="600075" cy="819150"/>
          <a:chOff x="1616" y="328"/>
          <a:chExt cx="63" cy="86"/>
        </a:xfrm>
      </xdr:grpSpPr>
      <xdr:sp macro="" textlink="">
        <xdr:nvSpPr>
          <xdr:cNvPr id="421238" name="AutoShape 2">
            <a:extLst>
              <a:ext uri="{FF2B5EF4-FFF2-40B4-BE49-F238E27FC236}">
                <a16:creationId xmlns:a16="http://schemas.microsoft.com/office/drawing/2014/main" id="{55F53145-8E75-4525-82EC-1C9800A664A6}"/>
              </a:ext>
            </a:extLst>
          </xdr:cNvPr>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a:extLst>
              <a:ext uri="{FF2B5EF4-FFF2-40B4-BE49-F238E27FC236}">
                <a16:creationId xmlns:a16="http://schemas.microsoft.com/office/drawing/2014/main" id="{71081776-177A-4B38-A9EE-3114171218AA}"/>
              </a:ext>
            </a:extLst>
          </xdr:cNvPr>
          <xdr:cNvSpPr txBox="1">
            <a:spLocks noChangeArrowheads="1"/>
          </xdr:cNvSpPr>
        </xdr:nvSpPr>
        <xdr:spPr bwMode="auto">
          <a:xfrm>
            <a:off x="1635" y="350"/>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421232" name="Group 370">
          <a:extLst>
            <a:ext uri="{FF2B5EF4-FFF2-40B4-BE49-F238E27FC236}">
              <a16:creationId xmlns:a16="http://schemas.microsoft.com/office/drawing/2014/main" id="{F5ACA4C4-BD33-47D0-A645-456B05CA81B8}"/>
            </a:ext>
          </a:extLst>
        </xdr:cNvPr>
        <xdr:cNvGrpSpPr>
          <a:grpSpLocks/>
        </xdr:cNvGrpSpPr>
      </xdr:nvGrpSpPr>
      <xdr:grpSpPr bwMode="auto">
        <a:xfrm>
          <a:off x="8724900" y="428625"/>
          <a:ext cx="600075" cy="819150"/>
          <a:chOff x="1689" y="252"/>
          <a:chExt cx="63" cy="86"/>
        </a:xfrm>
      </xdr:grpSpPr>
      <xdr:sp macro="" textlink="">
        <xdr:nvSpPr>
          <xdr:cNvPr id="421236" name="AutoShape 2">
            <a:extLst>
              <a:ext uri="{FF2B5EF4-FFF2-40B4-BE49-F238E27FC236}">
                <a16:creationId xmlns:a16="http://schemas.microsoft.com/office/drawing/2014/main" id="{F640625B-624D-48F6-917E-9F23670BF1C8}"/>
              </a:ext>
            </a:extLst>
          </xdr:cNvPr>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a:extLst>
              <a:ext uri="{FF2B5EF4-FFF2-40B4-BE49-F238E27FC236}">
                <a16:creationId xmlns:a16="http://schemas.microsoft.com/office/drawing/2014/main" id="{42649E9E-602E-4CBF-9F2C-B09FB0A17823}"/>
              </a:ext>
            </a:extLst>
          </xdr:cNvPr>
          <xdr:cNvSpPr txBox="1">
            <a:spLocks noChangeArrowheads="1"/>
          </xdr:cNvSpPr>
        </xdr:nvSpPr>
        <xdr:spPr bwMode="auto">
          <a:xfrm>
            <a:off x="1708" y="274"/>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421233" name="Group 373">
          <a:extLst>
            <a:ext uri="{FF2B5EF4-FFF2-40B4-BE49-F238E27FC236}">
              <a16:creationId xmlns:a16="http://schemas.microsoft.com/office/drawing/2014/main" id="{0CB85443-29E0-4195-9AF6-BE79D42EC108}"/>
            </a:ext>
          </a:extLst>
        </xdr:cNvPr>
        <xdr:cNvGrpSpPr>
          <a:grpSpLocks/>
        </xdr:cNvGrpSpPr>
      </xdr:nvGrpSpPr>
      <xdr:grpSpPr bwMode="auto">
        <a:xfrm>
          <a:off x="8715375" y="5086350"/>
          <a:ext cx="600075" cy="819150"/>
          <a:chOff x="1673" y="56"/>
          <a:chExt cx="63" cy="86"/>
        </a:xfrm>
      </xdr:grpSpPr>
      <xdr:sp macro="" textlink="">
        <xdr:nvSpPr>
          <xdr:cNvPr id="421234" name="AutoShape 2">
            <a:extLst>
              <a:ext uri="{FF2B5EF4-FFF2-40B4-BE49-F238E27FC236}">
                <a16:creationId xmlns:a16="http://schemas.microsoft.com/office/drawing/2014/main" id="{47617F28-8710-46C2-B9AA-35A6C74FA920}"/>
              </a:ext>
            </a:extLst>
          </xdr:cNvPr>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a:extLst>
              <a:ext uri="{FF2B5EF4-FFF2-40B4-BE49-F238E27FC236}">
                <a16:creationId xmlns:a16="http://schemas.microsoft.com/office/drawing/2014/main" id="{0B047BEF-35EE-43C3-8E5A-D2B9B1D8A29A}"/>
              </a:ext>
            </a:extLst>
          </xdr:cNvPr>
          <xdr:cNvSpPr txBox="1">
            <a:spLocks noChangeArrowheads="1"/>
          </xdr:cNvSpPr>
        </xdr:nvSpPr>
        <xdr:spPr bwMode="auto">
          <a:xfrm>
            <a:off x="1692" y="78"/>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94" name="Chart 1">
          <a:extLst>
            <a:ext uri="{FF2B5EF4-FFF2-40B4-BE49-F238E27FC236}">
              <a16:creationId xmlns:a16="http://schemas.microsoft.com/office/drawing/2014/main" id="{17AB856A-27F1-4ED5-803F-69B1ABC0B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13" zoomScaleNormal="100" zoomScaleSheetLayoutView="100" workbookViewId="0">
      <selection activeCell="H53" sqref="H53"/>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442" t="s">
        <v>1092</v>
      </c>
      <c r="B1" s="443"/>
      <c r="C1" s="444"/>
      <c r="D1" s="137" t="s">
        <v>427</v>
      </c>
      <c r="E1" s="174" t="str">
        <f xml:space="preserve"> 'hulp r'!B6</f>
        <v>C</v>
      </c>
      <c r="F1" s="135" t="s">
        <v>426</v>
      </c>
      <c r="G1" s="445">
        <v>43154</v>
      </c>
      <c r="H1" s="446"/>
      <c r="I1" s="135" t="s">
        <v>0</v>
      </c>
      <c r="J1" s="427" t="s">
        <v>1090</v>
      </c>
      <c r="K1" s="428"/>
      <c r="L1" s="140"/>
      <c r="M1" s="177"/>
      <c r="N1" s="179"/>
      <c r="O1" s="413" t="s">
        <v>1</v>
      </c>
      <c r="P1" s="413"/>
      <c r="R1" s="414" t="s">
        <v>1085</v>
      </c>
      <c r="S1" s="415"/>
      <c r="T1" s="415"/>
      <c r="U1" s="416"/>
      <c r="V1" s="186"/>
    </row>
    <row r="2" spans="1:26" s="3" customFormat="1" ht="27.75" customHeight="1" thickBot="1" x14ac:dyDescent="0.5">
      <c r="A2" s="438" t="s">
        <v>2</v>
      </c>
      <c r="B2" s="439"/>
      <c r="C2" s="288" t="s">
        <v>1091</v>
      </c>
      <c r="D2" s="136" t="s">
        <v>3</v>
      </c>
      <c r="E2" s="440" t="s">
        <v>1089</v>
      </c>
      <c r="F2" s="440"/>
      <c r="G2" s="440"/>
      <c r="H2" s="440"/>
      <c r="I2" s="440"/>
      <c r="J2" s="440"/>
      <c r="K2" s="441"/>
      <c r="M2" s="177"/>
      <c r="N2" s="179"/>
      <c r="O2" s="413"/>
      <c r="P2" s="413"/>
      <c r="Q2" s="5"/>
      <c r="R2" s="402" t="s">
        <v>1066</v>
      </c>
      <c r="S2" s="403"/>
      <c r="T2" s="403"/>
      <c r="U2" s="403"/>
      <c r="W2" s="181"/>
      <c r="X2" s="181"/>
      <c r="Y2" s="181"/>
      <c r="Z2" s="181"/>
    </row>
    <row r="3" spans="1:26" s="3" customFormat="1" ht="24.95" customHeight="1" thickBot="1" x14ac:dyDescent="0.45">
      <c r="A3" s="465" t="s">
        <v>1064</v>
      </c>
      <c r="B3" s="466"/>
      <c r="C3" s="466"/>
      <c r="D3" s="175">
        <f>(IF(F24&lt;1015,"geen bier",IF(G4&lt;1000,(F24-G6)*135.666/100000,IF(G6&lt;990,(G4-G6)*135.666/100000,(G4-G6)*135.666/100000)*100)))</f>
        <v>6.4687977433039006</v>
      </c>
      <c r="E3" s="447" t="s">
        <v>1065</v>
      </c>
      <c r="F3" s="447"/>
      <c r="G3" s="175">
        <f>IF(F24&lt;1015,"geen bier",(IF(G7&lt;1,(D3+(8/17.33)),(D3+(G7/17.33)))))</f>
        <v>6.872721574809959</v>
      </c>
      <c r="H3" s="447" t="s">
        <v>1063</v>
      </c>
      <c r="I3" s="447"/>
      <c r="J3" s="391">
        <f>(SUM(A11:A18))*O3</f>
        <v>14.839999999999998</v>
      </c>
      <c r="K3" s="392"/>
      <c r="N3" s="141"/>
      <c r="O3" s="412">
        <v>2.8</v>
      </c>
      <c r="P3" s="412"/>
      <c r="R3" s="403"/>
      <c r="S3" s="403"/>
      <c r="T3" s="403"/>
      <c r="U3" s="403"/>
      <c r="W3" s="181"/>
      <c r="X3" s="181"/>
      <c r="Y3" s="181"/>
      <c r="Z3" s="181"/>
    </row>
    <row r="4" spans="1:26" s="3" customFormat="1" ht="24.95" customHeight="1" x14ac:dyDescent="0.35">
      <c r="A4" s="451" t="s">
        <v>4</v>
      </c>
      <c r="B4" s="452"/>
      <c r="C4" s="452"/>
      <c r="D4" s="6">
        <f>G24</f>
        <v>15.566860465116278</v>
      </c>
      <c r="E4" s="453" t="s">
        <v>1041</v>
      </c>
      <c r="F4" s="454"/>
      <c r="G4" s="163">
        <f>((SUM(F11:F21)))+1000</f>
        <v>1061.9244028000001</v>
      </c>
      <c r="H4" s="455" t="s">
        <v>1062</v>
      </c>
      <c r="I4" s="455"/>
      <c r="J4" s="418">
        <f xml:space="preserve"> J5 + (K56 * SUM(A11:A18)) - J3 + (G8/60 * K57) + 0.01*A35</f>
        <v>18.84</v>
      </c>
      <c r="K4" s="419"/>
      <c r="Q4" s="8"/>
      <c r="R4" s="403"/>
      <c r="S4" s="403"/>
      <c r="T4" s="403"/>
      <c r="U4" s="403"/>
      <c r="W4" s="181"/>
      <c r="X4" s="181"/>
      <c r="Y4" s="181"/>
      <c r="Z4" s="181"/>
    </row>
    <row r="5" spans="1:26" s="3" customFormat="1" ht="24.95" customHeight="1" thickBot="1" x14ac:dyDescent="0.4">
      <c r="A5" s="449" t="s">
        <v>5</v>
      </c>
      <c r="B5" s="450"/>
      <c r="C5" s="450"/>
      <c r="D5" s="9" t="str">
        <f>IF(D4&lt;9,"Bleek",IF(D4&lt;12,"Geel",IF(D4&lt;20,"Goud",IF(D4&lt;30,"Amber",IF(D4&lt;45,"Koper",IF(D4&lt;75,"Bruin",IF(D4&lt;120,"Zeer donker doorschijnend",IF(D4&gt;120,"zwart-niet door schijnend"))))))))</f>
        <v>Goud</v>
      </c>
      <c r="E5" s="448" t="s">
        <v>6</v>
      </c>
      <c r="F5" s="448"/>
      <c r="G5" s="383"/>
      <c r="H5" s="462" t="s">
        <v>1050</v>
      </c>
      <c r="I5" s="462"/>
      <c r="J5" s="463">
        <f>D8*1.08</f>
        <v>21.6</v>
      </c>
      <c r="K5" s="464"/>
      <c r="M5" s="420" t="s">
        <v>1052</v>
      </c>
      <c r="N5" s="421"/>
      <c r="O5" s="8"/>
      <c r="P5" s="8"/>
      <c r="Q5" s="8"/>
      <c r="R5" s="403"/>
      <c r="S5" s="403"/>
      <c r="T5" s="403"/>
      <c r="U5" s="403"/>
      <c r="W5" s="181"/>
      <c r="X5" s="181"/>
      <c r="Y5" s="181"/>
      <c r="Z5" s="181"/>
    </row>
    <row r="6" spans="1:26" s="3" customFormat="1" ht="24.95" customHeight="1" thickBot="1" x14ac:dyDescent="0.4">
      <c r="A6" s="458" t="s">
        <v>7</v>
      </c>
      <c r="B6" s="459"/>
      <c r="C6" s="459"/>
      <c r="D6" s="7">
        <f>F35</f>
        <v>19.547357459393925</v>
      </c>
      <c r="E6" s="448" t="s">
        <v>430</v>
      </c>
      <c r="F6" s="448"/>
      <c r="G6" s="164">
        <f>(G4-1000)*(1-J6)+1000</f>
        <v>1014.242612644</v>
      </c>
      <c r="H6" s="448" t="s">
        <v>8</v>
      </c>
      <c r="I6" s="448"/>
      <c r="J6" s="460">
        <v>0.77</v>
      </c>
      <c r="K6" s="461"/>
      <c r="M6" s="422"/>
      <c r="N6" s="423"/>
      <c r="O6" s="404" t="s">
        <v>9</v>
      </c>
      <c r="P6" s="405"/>
      <c r="R6" s="403"/>
      <c r="S6" s="403"/>
      <c r="T6" s="403"/>
      <c r="U6" s="403"/>
      <c r="W6" s="181"/>
      <c r="X6" s="181"/>
      <c r="Y6" s="181"/>
      <c r="Z6" s="181"/>
    </row>
    <row r="7" spans="1:26" s="3" customFormat="1" ht="24.95" customHeight="1" x14ac:dyDescent="0.35">
      <c r="A7" s="458" t="s">
        <v>10</v>
      </c>
      <c r="B7" s="459"/>
      <c r="C7" s="459"/>
      <c r="D7" s="7" t="str">
        <f>IF(D6&lt;20,"Weinig bitter",IF(D6&lt;30,"Bitterig",IF(D6&lt;40,"Bitter",IF(D6&gt;40,"Zeer bitter"))))</f>
        <v>Weinig bitter</v>
      </c>
      <c r="E7" s="448" t="s">
        <v>11</v>
      </c>
      <c r="F7" s="448"/>
      <c r="G7" s="289">
        <v>7</v>
      </c>
      <c r="H7" s="448" t="s">
        <v>12</v>
      </c>
      <c r="I7" s="448"/>
      <c r="J7" s="456">
        <f>IF(A24&lt;0.1,"GEEN BIER",IF(D8&lt;1,"--------",IF(G4&lt;1015,"--------",(F24-1000)/3.72*G4*D8/A24/100000)))</f>
        <v>0.64989558094300204</v>
      </c>
      <c r="K7" s="457"/>
      <c r="M7" s="422"/>
      <c r="N7" s="423"/>
      <c r="O7" s="406"/>
      <c r="P7" s="407"/>
      <c r="R7" s="426" t="s">
        <v>429</v>
      </c>
      <c r="S7" s="426"/>
      <c r="T7" s="426"/>
      <c r="U7" s="426"/>
      <c r="W7" s="181"/>
      <c r="X7" s="181"/>
      <c r="Y7" s="181"/>
      <c r="Z7" s="181"/>
    </row>
    <row r="8" spans="1:26" s="11" customFormat="1" ht="24.95" customHeight="1" x14ac:dyDescent="0.3">
      <c r="A8" s="449" t="s">
        <v>442</v>
      </c>
      <c r="B8" s="450"/>
      <c r="C8" s="450"/>
      <c r="D8" s="291">
        <v>20</v>
      </c>
      <c r="E8" s="448" t="s">
        <v>13</v>
      </c>
      <c r="F8" s="448"/>
      <c r="G8" s="290">
        <v>75</v>
      </c>
      <c r="H8" s="448" t="s">
        <v>14</v>
      </c>
      <c r="I8" s="448"/>
      <c r="J8" s="467">
        <v>0.78</v>
      </c>
      <c r="K8" s="468"/>
      <c r="M8" s="422"/>
      <c r="N8" s="423"/>
      <c r="O8" s="267" t="s">
        <v>1053</v>
      </c>
      <c r="P8" s="376" t="s">
        <v>1051</v>
      </c>
      <c r="R8" s="426"/>
      <c r="S8" s="426"/>
      <c r="T8" s="426"/>
      <c r="U8" s="426"/>
    </row>
    <row r="9" spans="1:26" ht="20.100000000000001" customHeight="1" x14ac:dyDescent="0.3">
      <c r="A9" s="469" t="s">
        <v>15</v>
      </c>
      <c r="B9" s="470" t="s">
        <v>16</v>
      </c>
      <c r="C9" s="471" t="s">
        <v>17</v>
      </c>
      <c r="D9" s="472" t="s">
        <v>18</v>
      </c>
      <c r="E9" s="473" t="s">
        <v>19</v>
      </c>
      <c r="F9" s="472" t="s">
        <v>20</v>
      </c>
      <c r="G9" s="472" t="s">
        <v>21</v>
      </c>
      <c r="H9" s="476" t="s">
        <v>22</v>
      </c>
      <c r="I9" s="476"/>
      <c r="J9" s="476"/>
      <c r="K9" s="477"/>
      <c r="M9" s="422"/>
      <c r="N9" s="423"/>
      <c r="O9" s="408" t="s">
        <v>1060</v>
      </c>
      <c r="P9" s="410">
        <v>1</v>
      </c>
      <c r="R9" s="426"/>
      <c r="S9" s="426"/>
      <c r="T9" s="426"/>
      <c r="U9" s="426"/>
    </row>
    <row r="10" spans="1:26" ht="20.100000000000001" customHeight="1" thickBot="1" x14ac:dyDescent="0.35">
      <c r="A10" s="469"/>
      <c r="B10" s="470"/>
      <c r="C10" s="471"/>
      <c r="D10" s="472"/>
      <c r="E10" s="473"/>
      <c r="F10" s="472"/>
      <c r="G10" s="472"/>
      <c r="H10" s="476"/>
      <c r="I10" s="476"/>
      <c r="J10" s="476"/>
      <c r="K10" s="477"/>
      <c r="M10" s="424"/>
      <c r="N10" s="425"/>
      <c r="O10" s="409"/>
      <c r="P10" s="411"/>
      <c r="R10" s="417" t="s">
        <v>440</v>
      </c>
      <c r="S10" s="417"/>
      <c r="T10" s="417"/>
      <c r="U10" s="417"/>
    </row>
    <row r="11" spans="1:26" ht="16.7" customHeight="1" thickBot="1" x14ac:dyDescent="0.35">
      <c r="A11" s="189">
        <f t="shared" ref="A11:A18" si="0">P11</f>
        <v>1.9</v>
      </c>
      <c r="B11" s="292">
        <v>3</v>
      </c>
      <c r="C11" s="15" t="str">
        <f>LOOKUP(B11,mout!A:A,mout!B:B)</f>
        <v>Pils</v>
      </c>
      <c r="D11" s="167">
        <f>LOOKUP(B11,mout!A:A,mout!D:D)</f>
        <v>81</v>
      </c>
      <c r="E11" s="266">
        <f>LOOKUP(B11,mout!A:A,mout!E:E)</f>
        <v>3</v>
      </c>
      <c r="F11" s="265">
        <f t="shared" ref="F11:F18" si="1">(D11*A11/$D$8)*$J$8*3.722</f>
        <v>22.339816200000001</v>
      </c>
      <c r="G11" s="18">
        <v>5</v>
      </c>
      <c r="H11" s="478"/>
      <c r="I11" s="478"/>
      <c r="J11" s="478"/>
      <c r="K11" s="479"/>
      <c r="O11" s="375">
        <v>1.9</v>
      </c>
      <c r="P11" s="191">
        <f>+$P$9*O11</f>
        <v>1.9</v>
      </c>
      <c r="R11" s="417"/>
      <c r="S11" s="417"/>
      <c r="T11" s="417"/>
      <c r="U11" s="417"/>
    </row>
    <row r="12" spans="1:26" ht="16.7" customHeight="1" thickBot="1" x14ac:dyDescent="0.35">
      <c r="A12" s="189">
        <f t="shared" si="0"/>
        <v>2.7</v>
      </c>
      <c r="B12" s="382">
        <v>301</v>
      </c>
      <c r="C12" s="19" t="str">
        <f>LOOKUP(B12,mout!A:A,mout!B:B)</f>
        <v>Tarwemout licht</v>
      </c>
      <c r="D12" s="167">
        <f>LOOKUP(B12,mout!A:A,mout!D:D)</f>
        <v>80</v>
      </c>
      <c r="E12" s="20">
        <f>LOOKUP(B12,mout!A:A,mout!E:E)</f>
        <v>3</v>
      </c>
      <c r="F12" s="16">
        <f t="shared" si="1"/>
        <v>31.354128000000003</v>
      </c>
      <c r="G12" s="21">
        <f t="shared" ref="G12:G18" si="2">(D12*A12/$J$5)*E12/8.6</f>
        <v>3.4883720930232558</v>
      </c>
      <c r="H12" s="480"/>
      <c r="I12" s="480"/>
      <c r="J12" s="480"/>
      <c r="K12" s="481"/>
      <c r="O12" s="375">
        <v>2.7</v>
      </c>
      <c r="P12" s="191">
        <f t="shared" ref="P12:P18" si="3">+$P$9*O12</f>
        <v>2.7</v>
      </c>
      <c r="R12" s="417"/>
      <c r="S12" s="417"/>
      <c r="T12" s="417"/>
      <c r="U12" s="417"/>
    </row>
    <row r="13" spans="1:26" ht="16.7" customHeight="1" thickBot="1" x14ac:dyDescent="0.35">
      <c r="A13" s="189">
        <f t="shared" si="0"/>
        <v>0.7</v>
      </c>
      <c r="B13" s="382">
        <v>11</v>
      </c>
      <c r="C13" s="19" t="str">
        <f>LOOKUP(B13,mout!A:A,mout!B:B)</f>
        <v>Munchener</v>
      </c>
      <c r="D13" s="167">
        <f>LOOKUP(B13,mout!A:A,mout!D:D)</f>
        <v>81</v>
      </c>
      <c r="E13" s="20">
        <f>LOOKUP(B13,mout!A:A,mout!E:E)</f>
        <v>15</v>
      </c>
      <c r="F13" s="16">
        <f t="shared" si="1"/>
        <v>8.2304586000000004</v>
      </c>
      <c r="G13" s="21">
        <f t="shared" si="2"/>
        <v>4.5784883720930223</v>
      </c>
      <c r="H13" s="429"/>
      <c r="I13" s="429"/>
      <c r="J13" s="429"/>
      <c r="K13" s="430"/>
      <c r="O13" s="375">
        <v>0.7</v>
      </c>
      <c r="P13" s="191">
        <f t="shared" si="3"/>
        <v>0.7</v>
      </c>
      <c r="R13" s="393" t="s">
        <v>1034</v>
      </c>
      <c r="S13" s="394"/>
      <c r="T13" s="394"/>
      <c r="U13" s="395"/>
    </row>
    <row r="14" spans="1:26" ht="16.7" customHeight="1" thickBot="1" x14ac:dyDescent="0.4">
      <c r="A14" s="189">
        <f>P14</f>
        <v>0</v>
      </c>
      <c r="B14" s="293"/>
      <c r="C14" s="19" t="str">
        <f>LOOKUP(B14,mout!A:A,mout!B:B)</f>
        <v>-</v>
      </c>
      <c r="D14" s="167">
        <f>LOOKUP(B14,mout!A:A,mout!D:D)</f>
        <v>0</v>
      </c>
      <c r="E14" s="20">
        <f>LOOKUP(B14,mout!A:A,mout!E:E)</f>
        <v>0</v>
      </c>
      <c r="F14" s="16">
        <f>(D14*A14/$D$8)*$J$8*3.722</f>
        <v>0</v>
      </c>
      <c r="G14" s="21">
        <f>(D14*A14/$J$5)*E14/8.6</f>
        <v>0</v>
      </c>
      <c r="H14" s="429"/>
      <c r="I14" s="429"/>
      <c r="J14" s="429"/>
      <c r="K14" s="430"/>
      <c r="M14" s="221"/>
      <c r="N14" s="238"/>
      <c r="O14" s="375"/>
      <c r="P14" s="191">
        <f t="shared" si="3"/>
        <v>0</v>
      </c>
      <c r="R14" s="396"/>
      <c r="S14" s="397"/>
      <c r="T14" s="397"/>
      <c r="U14" s="398"/>
    </row>
    <row r="15" spans="1:26" ht="16.7" customHeight="1" thickBot="1" x14ac:dyDescent="0.4">
      <c r="A15" s="189">
        <f t="shared" si="0"/>
        <v>0</v>
      </c>
      <c r="B15" s="293"/>
      <c r="C15" s="19" t="str">
        <f>LOOKUP(B15,mout!A:A,mout!B:B)</f>
        <v>-</v>
      </c>
      <c r="D15" s="167">
        <f>LOOKUP(B15,mout!A:A,mout!D:D)</f>
        <v>0</v>
      </c>
      <c r="E15" s="20">
        <f>LOOKUP(B15,mout!A:A,mout!E:E)</f>
        <v>0</v>
      </c>
      <c r="F15" s="374">
        <f>(D15*A15/$D$8)*$J$8*3.722</f>
        <v>0</v>
      </c>
      <c r="G15" s="21">
        <f t="shared" si="2"/>
        <v>0</v>
      </c>
      <c r="H15" s="429"/>
      <c r="I15" s="429"/>
      <c r="J15" s="429"/>
      <c r="K15" s="430"/>
      <c r="M15" s="239"/>
      <c r="N15" s="238"/>
      <c r="O15" s="375"/>
      <c r="P15" s="191">
        <f t="shared" si="3"/>
        <v>0</v>
      </c>
      <c r="R15" s="396"/>
      <c r="S15" s="397"/>
      <c r="T15" s="397"/>
      <c r="U15" s="398"/>
    </row>
    <row r="16" spans="1:26" ht="16.7" customHeight="1" thickBot="1" x14ac:dyDescent="0.35">
      <c r="A16" s="189">
        <f t="shared" si="0"/>
        <v>0</v>
      </c>
      <c r="B16" s="294"/>
      <c r="C16" s="19" t="str">
        <f>LOOKUP(B16,mout!A:A,mout!B:B)</f>
        <v>-</v>
      </c>
      <c r="D16" s="167">
        <f>LOOKUP(B16,mout!A:A,mout!D:D)</f>
        <v>0</v>
      </c>
      <c r="E16" s="20">
        <f>LOOKUP(B16,mout!A:A,mout!E:E)</f>
        <v>0</v>
      </c>
      <c r="F16" s="16">
        <f t="shared" si="1"/>
        <v>0</v>
      </c>
      <c r="G16" s="21">
        <f t="shared" si="2"/>
        <v>0</v>
      </c>
      <c r="H16" s="429"/>
      <c r="I16" s="429"/>
      <c r="J16" s="429"/>
      <c r="K16" s="430"/>
      <c r="M16" s="239"/>
      <c r="N16" s="238"/>
      <c r="O16" s="375">
        <v>0</v>
      </c>
      <c r="P16" s="191">
        <f t="shared" si="3"/>
        <v>0</v>
      </c>
      <c r="R16" s="399"/>
      <c r="S16" s="400"/>
      <c r="T16" s="400"/>
      <c r="U16" s="401"/>
    </row>
    <row r="17" spans="1:78" ht="16.7" customHeight="1" thickBot="1" x14ac:dyDescent="0.35">
      <c r="A17" s="189">
        <f t="shared" si="0"/>
        <v>0</v>
      </c>
      <c r="B17" s="294"/>
      <c r="C17" s="19" t="str">
        <f>LOOKUP(B17,mout!A:A,mout!B:B)</f>
        <v>-</v>
      </c>
      <c r="D17" s="167">
        <f>LOOKUP(B17,mout!A:A,mout!D:D)</f>
        <v>0</v>
      </c>
      <c r="E17" s="20">
        <f>LOOKUP(B17,mout!A:A,mout!E:E)</f>
        <v>0</v>
      </c>
      <c r="F17" s="16">
        <f t="shared" si="1"/>
        <v>0</v>
      </c>
      <c r="G17" s="21">
        <f t="shared" si="2"/>
        <v>0</v>
      </c>
      <c r="H17" s="429"/>
      <c r="I17" s="429"/>
      <c r="J17" s="429"/>
      <c r="K17" s="430"/>
      <c r="M17" s="239"/>
      <c r="N17" s="238"/>
      <c r="O17" s="375">
        <v>0</v>
      </c>
      <c r="P17" s="191">
        <f t="shared" si="3"/>
        <v>0</v>
      </c>
      <c r="S17" s="14"/>
    </row>
    <row r="18" spans="1:78" ht="16.7" customHeight="1" x14ac:dyDescent="0.3">
      <c r="A18" s="189">
        <f t="shared" si="0"/>
        <v>0</v>
      </c>
      <c r="B18" s="294"/>
      <c r="C18" s="19" t="str">
        <f>LOOKUP(B18,mout!A:A,mout!B:B)</f>
        <v>-</v>
      </c>
      <c r="D18" s="167">
        <f>LOOKUP(B18,mout!A:A,mout!D:D)</f>
        <v>0</v>
      </c>
      <c r="E18" s="20">
        <f>LOOKUP(B18,mout!A:A,mout!E:E)</f>
        <v>0</v>
      </c>
      <c r="F18" s="16">
        <f t="shared" si="1"/>
        <v>0</v>
      </c>
      <c r="G18" s="21">
        <f t="shared" si="2"/>
        <v>0</v>
      </c>
      <c r="H18" s="429"/>
      <c r="I18" s="429"/>
      <c r="J18" s="429"/>
      <c r="K18" s="430"/>
      <c r="M18" s="239"/>
      <c r="N18" s="238"/>
      <c r="O18" s="375">
        <v>0</v>
      </c>
      <c r="P18" s="191">
        <f t="shared" si="3"/>
        <v>0</v>
      </c>
      <c r="R18" s="389" t="s">
        <v>1061</v>
      </c>
      <c r="S18" s="390"/>
      <c r="T18" s="390"/>
      <c r="U18" s="390"/>
    </row>
    <row r="19" spans="1:78" ht="39.950000000000003" customHeight="1" thickBot="1" x14ac:dyDescent="0.35">
      <c r="A19" s="138" t="s">
        <v>15</v>
      </c>
      <c r="B19" s="22" t="s">
        <v>16</v>
      </c>
      <c r="C19" s="12" t="s">
        <v>23</v>
      </c>
      <c r="D19" s="23" t="s">
        <v>24</v>
      </c>
      <c r="E19" s="13" t="s">
        <v>25</v>
      </c>
      <c r="F19" s="24" t="s">
        <v>26</v>
      </c>
      <c r="G19" s="24" t="s">
        <v>27</v>
      </c>
      <c r="H19" s="431" t="s">
        <v>22</v>
      </c>
      <c r="I19" s="431"/>
      <c r="J19" s="431"/>
      <c r="K19" s="432"/>
      <c r="M19" s="239"/>
      <c r="N19" s="238"/>
      <c r="O19" s="176" t="s">
        <v>1059</v>
      </c>
      <c r="P19" s="377">
        <v>1</v>
      </c>
      <c r="R19" s="390"/>
      <c r="S19" s="390"/>
      <c r="T19" s="390"/>
      <c r="U19" s="390"/>
    </row>
    <row r="20" spans="1:78" ht="16.7" customHeight="1" thickBot="1" x14ac:dyDescent="0.35">
      <c r="A20" s="187">
        <f>P20</f>
        <v>0</v>
      </c>
      <c r="B20" s="292"/>
      <c r="C20" s="15" t="str">
        <f>LOOKUP(B20,suiker!A:A,suiker!B:B)</f>
        <v xml:space="preserve"> -</v>
      </c>
      <c r="D20" s="166">
        <f>LOOKUP(B20,suiker!A:A,suiker!C:C)</f>
        <v>0</v>
      </c>
      <c r="E20" s="17">
        <f>LOOKUP(B20,suiker!A:A,suiker!D:D)</f>
        <v>0</v>
      </c>
      <c r="F20" s="16">
        <f>(D20*A20/$J$5)*3.722</f>
        <v>0</v>
      </c>
      <c r="G20" s="18">
        <f>(D20*A20/$J$5)*E20/8.6</f>
        <v>0</v>
      </c>
      <c r="H20" s="433"/>
      <c r="I20" s="433"/>
      <c r="J20" s="433"/>
      <c r="K20" s="434"/>
      <c r="M20" s="177"/>
      <c r="N20" s="178"/>
      <c r="O20" s="378"/>
      <c r="P20" s="190">
        <f>$P$19*O20</f>
        <v>0</v>
      </c>
      <c r="R20" s="390"/>
      <c r="S20" s="390"/>
      <c r="T20" s="390"/>
      <c r="U20" s="390"/>
    </row>
    <row r="21" spans="1:78" ht="16.7" customHeight="1" x14ac:dyDescent="0.3">
      <c r="A21" s="187">
        <f>P21</f>
        <v>0</v>
      </c>
      <c r="B21" s="295"/>
      <c r="C21" s="148" t="str">
        <f>LOOKUP(B21,suiker!A:A,suiker!B:B)</f>
        <v xml:space="preserve"> -</v>
      </c>
      <c r="D21" s="168">
        <f>LOOKUP(B21,suiker!A:A,suiker!C:C)</f>
        <v>0</v>
      </c>
      <c r="E21" s="150">
        <f>LOOKUP(B21,suiker!A:A,suiker!D:D)</f>
        <v>0</v>
      </c>
      <c r="F21" s="149">
        <f>(D21*A21/$J$5)*3.722</f>
        <v>0</v>
      </c>
      <c r="G21" s="151">
        <f>(D21*A21/$J$5)*E21/8.6</f>
        <v>0</v>
      </c>
      <c r="H21" s="435"/>
      <c r="I21" s="436"/>
      <c r="J21" s="436"/>
      <c r="K21" s="437"/>
      <c r="M21" s="177"/>
      <c r="N21" s="178"/>
      <c r="O21" s="378"/>
      <c r="P21" s="190">
        <f>$P$19*O21</f>
        <v>0</v>
      </c>
      <c r="R21" s="390"/>
      <c r="S21" s="390"/>
      <c r="T21" s="390"/>
      <c r="U21" s="390"/>
    </row>
    <row r="22" spans="1:78" ht="16.7" customHeight="1" x14ac:dyDescent="0.3">
      <c r="A22" s="188">
        <f>D8*G7/1000</f>
        <v>0.14000000000000001</v>
      </c>
      <c r="B22" s="296"/>
      <c r="C22" s="26" t="str">
        <f>LOOKUP(B22,suiker!A:A,suiker!B:B)</f>
        <v xml:space="preserve"> -</v>
      </c>
      <c r="D22" s="169">
        <f>LOOKUP(B22,suiker!A:A,suiker!C:C)</f>
        <v>0</v>
      </c>
      <c r="E22" s="27">
        <f>LOOKUP(B22,suiker!A:A,suiker!D:D)</f>
        <v>0</v>
      </c>
      <c r="F22" s="16">
        <f>(D22*A22/$J$5)*3.722</f>
        <v>0</v>
      </c>
      <c r="G22" s="21">
        <f>(D22*A22/$J$5)*E22/8.6</f>
        <v>0</v>
      </c>
      <c r="H22" s="474" t="s">
        <v>28</v>
      </c>
      <c r="I22" s="474"/>
      <c r="J22" s="474"/>
      <c r="K22" s="475"/>
      <c r="P22" s="142"/>
      <c r="S22" s="142"/>
    </row>
    <row r="23" spans="1:78" ht="16.7" customHeight="1" x14ac:dyDescent="0.3">
      <c r="A23" s="138" t="s">
        <v>15</v>
      </c>
      <c r="B23" s="487" t="s">
        <v>29</v>
      </c>
      <c r="C23" s="487"/>
      <c r="D23" s="487"/>
      <c r="E23" s="487"/>
      <c r="F23" s="24" t="s">
        <v>30</v>
      </c>
      <c r="G23" s="152" t="s">
        <v>431</v>
      </c>
      <c r="H23" s="488"/>
      <c r="I23" s="488"/>
      <c r="J23" s="488"/>
      <c r="K23" s="489"/>
      <c r="P23" s="142"/>
      <c r="R23" s="180"/>
      <c r="S23" s="180"/>
      <c r="T23" s="180"/>
    </row>
    <row r="24" spans="1:78" ht="16.7" customHeight="1" x14ac:dyDescent="0.3">
      <c r="A24" s="146">
        <f>SUM(A11:A22)</f>
        <v>5.4399999999999995</v>
      </c>
      <c r="B24" s="487"/>
      <c r="C24" s="487"/>
      <c r="D24" s="487"/>
      <c r="E24" s="487"/>
      <c r="F24" s="27">
        <f>((SUM(F11:F22)))+1000</f>
        <v>1061.9244028000001</v>
      </c>
      <c r="G24" s="28">
        <f>IF(F24&lt;1000.3,"0",SUM(G11:G22)+($G$8/30))</f>
        <v>15.566860465116278</v>
      </c>
      <c r="H24" s="488"/>
      <c r="I24" s="488"/>
      <c r="J24" s="488"/>
      <c r="K24" s="489"/>
      <c r="P24" s="142"/>
      <c r="R24" s="180"/>
      <c r="S24" s="180"/>
      <c r="T24" s="180"/>
    </row>
    <row r="25" spans="1:78" ht="20.100000000000001" customHeight="1" x14ac:dyDescent="0.3">
      <c r="A25" s="496" t="s">
        <v>31</v>
      </c>
      <c r="B25" s="497" t="s">
        <v>16</v>
      </c>
      <c r="C25" s="498" t="s">
        <v>32</v>
      </c>
      <c r="D25" s="499" t="s">
        <v>33</v>
      </c>
      <c r="E25" s="472" t="s">
        <v>34</v>
      </c>
      <c r="F25" s="490" t="s">
        <v>35</v>
      </c>
      <c r="G25" s="491" t="s">
        <v>439</v>
      </c>
      <c r="H25" s="431" t="s">
        <v>22</v>
      </c>
      <c r="I25" s="431"/>
      <c r="J25" s="431"/>
      <c r="K25" s="432"/>
      <c r="O25" s="565" t="s">
        <v>1058</v>
      </c>
      <c r="P25" s="550">
        <v>1</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496"/>
      <c r="B26" s="497"/>
      <c r="C26" s="498"/>
      <c r="D26" s="499"/>
      <c r="E26" s="472"/>
      <c r="F26" s="490"/>
      <c r="G26" s="491"/>
      <c r="H26" s="492"/>
      <c r="I26" s="492"/>
      <c r="J26" s="492"/>
      <c r="K26" s="493"/>
      <c r="O26" s="566"/>
      <c r="P26" s="550"/>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5">
        <f t="shared" ref="A27:A34" si="4">P27</f>
        <v>28</v>
      </c>
      <c r="B27" s="384">
        <v>13</v>
      </c>
      <c r="C27" s="147" t="str">
        <f>LOOKUP(B27,hop!A:A,hop!B:B)</f>
        <v>Hallertau perle (D)</v>
      </c>
      <c r="D27" s="165">
        <f>LOOKUP(B27,hop!A:A,hop!G:G)</f>
        <v>5.7</v>
      </c>
      <c r="E27" s="299">
        <v>75</v>
      </c>
      <c r="F27" s="30">
        <f>IF(G27=tabellen!$I$1,tabellen!I10,IF(G27=tabellen!$I$2,tabellen!I10*1.1,tabellen!$I$3))</f>
        <v>19.290422376330454</v>
      </c>
      <c r="G27" s="300" t="s">
        <v>62</v>
      </c>
      <c r="H27" s="558"/>
      <c r="I27" s="559"/>
      <c r="J27" s="559"/>
      <c r="K27" s="560"/>
      <c r="M27" s="177"/>
      <c r="N27" s="177"/>
      <c r="O27" s="379">
        <v>28</v>
      </c>
      <c r="P27" s="380">
        <f>$P$25*O27</f>
        <v>28</v>
      </c>
      <c r="R27" s="180"/>
      <c r="S27" s="180"/>
      <c r="T27" s="180"/>
    </row>
    <row r="28" spans="1:78" ht="16.7" customHeight="1" thickBot="1" x14ac:dyDescent="0.4">
      <c r="A28" s="385">
        <f t="shared" si="4"/>
        <v>10</v>
      </c>
      <c r="B28" s="293">
        <v>12</v>
      </c>
      <c r="C28" s="196" t="str">
        <f>LOOKUP(B28,hop!A:A,hop!B:B)</f>
        <v>Hallertau mittelfrüh (D)</v>
      </c>
      <c r="D28" s="165">
        <f>LOOKUP(B28,hop!A:A,hop!G:G)</f>
        <v>4.8</v>
      </c>
      <c r="E28" s="299">
        <v>1</v>
      </c>
      <c r="F28" s="30">
        <f>IF(G28=tabellen!$I$1,tabellen!I20,IF(G28=tabellen!$I$2,tabellen!I20*1.1,tabellen!$I$3))</f>
        <v>0.25693508306347201</v>
      </c>
      <c r="G28" s="301" t="s">
        <v>1086</v>
      </c>
      <c r="H28" s="558"/>
      <c r="I28" s="559"/>
      <c r="J28" s="559"/>
      <c r="K28" s="560"/>
      <c r="M28" s="177"/>
      <c r="N28" s="177"/>
      <c r="O28" s="379">
        <v>10</v>
      </c>
      <c r="P28" s="380">
        <f t="shared" ref="P28:P34" si="5">$P$25*O28</f>
        <v>10</v>
      </c>
      <c r="R28" s="180"/>
      <c r="S28" s="180"/>
      <c r="T28" s="180"/>
    </row>
    <row r="29" spans="1:78" ht="16.7" customHeight="1" thickBot="1" x14ac:dyDescent="0.4">
      <c r="A29" s="385">
        <f t="shared" si="4"/>
        <v>0</v>
      </c>
      <c r="B29" s="293"/>
      <c r="C29" s="196" t="str">
        <f>LOOKUP(B29,hop!A:A,hop!B:B)</f>
        <v>-</v>
      </c>
      <c r="D29" s="165">
        <f>LOOKUP(B29,hop!A:A,hop!G:G)</f>
        <v>0</v>
      </c>
      <c r="E29" s="299"/>
      <c r="F29" s="25">
        <f>IF(G29=tabellen!$I$1,tabellen!I30,IF(G29=tabellen!$I$2,tabellen!I30*1.1,tabellen!$I$3))</f>
        <v>0</v>
      </c>
      <c r="G29" s="301" t="s">
        <v>62</v>
      </c>
      <c r="H29" s="558"/>
      <c r="I29" s="559"/>
      <c r="J29" s="559"/>
      <c r="K29" s="560"/>
      <c r="O29" s="379">
        <v>0</v>
      </c>
      <c r="P29" s="380">
        <f t="shared" si="5"/>
        <v>0</v>
      </c>
      <c r="R29" s="180"/>
      <c r="S29" s="180"/>
      <c r="T29" s="180"/>
    </row>
    <row r="30" spans="1:78" ht="16.7" customHeight="1" thickBot="1" x14ac:dyDescent="0.4">
      <c r="A30" s="385">
        <f t="shared" si="4"/>
        <v>0</v>
      </c>
      <c r="B30" s="293"/>
      <c r="C30" s="196" t="str">
        <f>LOOKUP(B30,hop!A:A,hop!B:B)</f>
        <v>-</v>
      </c>
      <c r="D30" s="165">
        <f>LOOKUP(B30,hop!A:A,hop!G:G)</f>
        <v>0</v>
      </c>
      <c r="E30" s="299">
        <v>0</v>
      </c>
      <c r="F30" s="25">
        <f>IF(G30=tabellen!$I$1,tabellen!I40,IF(G30=tabellen!$I$2,tabellen!I40*1.1,tabellen!$I$3))</f>
        <v>0</v>
      </c>
      <c r="G30" s="301" t="s">
        <v>62</v>
      </c>
      <c r="H30" s="558"/>
      <c r="I30" s="559"/>
      <c r="J30" s="559"/>
      <c r="K30" s="560"/>
      <c r="O30" s="379">
        <v>0</v>
      </c>
      <c r="P30" s="380">
        <f t="shared" si="5"/>
        <v>0</v>
      </c>
      <c r="R30" s="180"/>
      <c r="S30" s="180"/>
      <c r="T30" s="180"/>
    </row>
    <row r="31" spans="1:78" ht="16.7" customHeight="1" thickBot="1" x14ac:dyDescent="0.4">
      <c r="A31" s="385">
        <f t="shared" si="4"/>
        <v>0</v>
      </c>
      <c r="B31" s="293"/>
      <c r="C31" s="196" t="str">
        <f>LOOKUP(B31,hop!A:A,hop!B:B)</f>
        <v>-</v>
      </c>
      <c r="D31" s="165">
        <f>LOOKUP(B31,hop!A:A,hop!G:G)</f>
        <v>0</v>
      </c>
      <c r="E31" s="299"/>
      <c r="F31" s="25">
        <f>IF(G31=tabellen!$I$1,tabellen!I50,IF(G31=tabellen!$I$2,tabellen!I50*1.1,tabellen!$I$3))</f>
        <v>0</v>
      </c>
      <c r="G31" s="301" t="s">
        <v>62</v>
      </c>
      <c r="H31" s="561"/>
      <c r="I31" s="562"/>
      <c r="J31" s="562"/>
      <c r="K31" s="563"/>
      <c r="O31" s="379">
        <v>0</v>
      </c>
      <c r="P31" s="380">
        <f t="shared" si="5"/>
        <v>0</v>
      </c>
      <c r="S31" s="500"/>
    </row>
    <row r="32" spans="1:78" ht="16.7" customHeight="1" thickBot="1" x14ac:dyDescent="0.4">
      <c r="A32" s="385">
        <f t="shared" si="4"/>
        <v>0</v>
      </c>
      <c r="B32" s="293"/>
      <c r="C32" s="196" t="str">
        <f>LOOKUP(B32,hop!A:A,hop!B:B)</f>
        <v>-</v>
      </c>
      <c r="D32" s="165">
        <f>LOOKUP(B32,hop!A:A,hop!G:G)</f>
        <v>0</v>
      </c>
      <c r="E32" s="299">
        <v>0</v>
      </c>
      <c r="F32" s="25">
        <f>IF(G32=tabellen!$I$1,tabellen!I60,IF(G32=tabellen!$I$2,tabellen!I60*1.1,tabellen!$I$3))</f>
        <v>0</v>
      </c>
      <c r="G32" s="301" t="s">
        <v>62</v>
      </c>
      <c r="H32" s="501"/>
      <c r="I32" s="501"/>
      <c r="J32" s="501"/>
      <c r="K32" s="502"/>
      <c r="O32" s="379">
        <v>0</v>
      </c>
      <c r="P32" s="380">
        <f t="shared" si="5"/>
        <v>0</v>
      </c>
      <c r="S32" s="500"/>
    </row>
    <row r="33" spans="1:21" ht="16.7" customHeight="1" thickBot="1" x14ac:dyDescent="0.35">
      <c r="A33" s="385">
        <f t="shared" si="4"/>
        <v>0</v>
      </c>
      <c r="B33" s="297"/>
      <c r="C33" s="196" t="str">
        <f>LOOKUP(B33,hop!A:A,hop!B:B)</f>
        <v>-</v>
      </c>
      <c r="D33" s="165">
        <f>LOOKUP(B33,hop!A:A,hop!G:G)</f>
        <v>0</v>
      </c>
      <c r="E33" s="299">
        <v>0</v>
      </c>
      <c r="F33" s="25">
        <f>IF(G33=tabellen!$I$1,tabellen!I70,IF(G33=tabellen!$I$2,tabellen!I70*1.1,tabellen!$I$3))</f>
        <v>0</v>
      </c>
      <c r="G33" s="301" t="s">
        <v>62</v>
      </c>
      <c r="H33" s="501"/>
      <c r="I33" s="501"/>
      <c r="J33" s="501"/>
      <c r="K33" s="502"/>
      <c r="O33" s="379">
        <v>0</v>
      </c>
      <c r="P33" s="380">
        <f t="shared" si="5"/>
        <v>0</v>
      </c>
      <c r="S33" s="14"/>
    </row>
    <row r="34" spans="1:21" ht="16.7" customHeight="1" x14ac:dyDescent="0.3">
      <c r="A34" s="386">
        <f t="shared" si="4"/>
        <v>0</v>
      </c>
      <c r="B34" s="298"/>
      <c r="C34" s="197" t="str">
        <f>LOOKUP(B34,hop!A:A,hop!B:B)</f>
        <v>-</v>
      </c>
      <c r="D34" s="165">
        <f>LOOKUP(B34,hop!A:A,hop!G:G)</f>
        <v>0</v>
      </c>
      <c r="E34" s="299">
        <v>0</v>
      </c>
      <c r="F34" s="25">
        <f>IF(G34=tabellen!$I$1,tabellen!I80,IF(G34=tabellen!$I$2,tabellen!I80*1.1,tabellen!$I$3))</f>
        <v>0</v>
      </c>
      <c r="G34" s="302" t="s">
        <v>62</v>
      </c>
      <c r="H34" s="494"/>
      <c r="I34" s="494"/>
      <c r="J34" s="494"/>
      <c r="K34" s="495"/>
      <c r="O34" s="379">
        <v>0</v>
      </c>
      <c r="P34" s="380">
        <f t="shared" si="5"/>
        <v>0</v>
      </c>
      <c r="S34" s="14"/>
    </row>
    <row r="35" spans="1:21" ht="16.7" customHeight="1" thickBot="1" x14ac:dyDescent="0.35">
      <c r="A35" s="139">
        <f>SUM(A27:A34)</f>
        <v>38</v>
      </c>
      <c r="B35" s="485" t="s">
        <v>37</v>
      </c>
      <c r="C35" s="485"/>
      <c r="D35" s="486" t="s">
        <v>38</v>
      </c>
      <c r="E35" s="486"/>
      <c r="F35" s="31">
        <f>SUM(F27:F34)</f>
        <v>19.547357459393925</v>
      </c>
      <c r="G35" s="555"/>
      <c r="H35" s="556"/>
      <c r="I35" s="556"/>
      <c r="J35" s="556"/>
      <c r="K35" s="557"/>
      <c r="O35" s="32"/>
      <c r="P35" s="33"/>
      <c r="S35" s="14"/>
      <c r="U35" s="14"/>
    </row>
    <row r="36" spans="1:21" ht="39.950000000000003" customHeight="1" thickBot="1" x14ac:dyDescent="0.35">
      <c r="A36" s="153" t="s">
        <v>31</v>
      </c>
      <c r="B36" s="154" t="s">
        <v>16</v>
      </c>
      <c r="C36" s="155" t="s">
        <v>39</v>
      </c>
      <c r="D36" s="535" t="s">
        <v>40</v>
      </c>
      <c r="E36" s="536"/>
      <c r="F36" s="537" t="s">
        <v>41</v>
      </c>
      <c r="G36" s="538"/>
      <c r="H36" s="538"/>
      <c r="I36" s="538"/>
      <c r="J36" s="538"/>
      <c r="K36" s="539"/>
      <c r="P36" s="34"/>
      <c r="S36" s="34"/>
      <c r="T36" s="14"/>
      <c r="U36" s="14"/>
    </row>
    <row r="37" spans="1:21" ht="16.5" customHeight="1" x14ac:dyDescent="0.3">
      <c r="A37" s="303">
        <v>11</v>
      </c>
      <c r="B37" s="304">
        <v>107</v>
      </c>
      <c r="C37" s="196" t="str">
        <f>LOOKUP(B37,gist!A:A,gist!B:B)</f>
        <v>Safbrew WB 06</v>
      </c>
      <c r="D37" s="540"/>
      <c r="E37" s="541"/>
      <c r="K37" s="143"/>
      <c r="U37" s="14"/>
    </row>
    <row r="38" spans="1:21" ht="16.5" customHeight="1" x14ac:dyDescent="0.3">
      <c r="A38" s="303"/>
      <c r="B38" s="305"/>
      <c r="C38" s="196" t="str">
        <f>LOOKUP(B38,gist!A:A,gist!B:B)</f>
        <v>-</v>
      </c>
      <c r="D38" s="542"/>
      <c r="E38" s="543"/>
      <c r="K38" s="143"/>
      <c r="U38" s="14"/>
    </row>
    <row r="39" spans="1:21" ht="16.5" customHeight="1" x14ac:dyDescent="0.3">
      <c r="A39" s="303"/>
      <c r="B39" s="305"/>
      <c r="C39" s="196" t="str">
        <f>LOOKUP(B39,gist!A:A,gist!B:B)</f>
        <v>-</v>
      </c>
      <c r="D39" s="525"/>
      <c r="E39" s="526"/>
      <c r="K39" s="143"/>
      <c r="U39" s="14"/>
    </row>
    <row r="40" spans="1:21" ht="39.950000000000003" customHeight="1" x14ac:dyDescent="0.3">
      <c r="A40" s="156" t="s">
        <v>31</v>
      </c>
      <c r="B40" s="157" t="s">
        <v>16</v>
      </c>
      <c r="C40" s="158" t="s">
        <v>42</v>
      </c>
      <c r="D40" s="527" t="s">
        <v>40</v>
      </c>
      <c r="E40" s="528"/>
      <c r="K40" s="143"/>
      <c r="U40" s="14"/>
    </row>
    <row r="41" spans="1:21" ht="16.7" customHeight="1" x14ac:dyDescent="0.35">
      <c r="A41" s="387"/>
      <c r="B41" s="306"/>
      <c r="C41" s="236" t="str">
        <f>LOOKUP(B41,kruiden!A:A,kruiden!B:B)</f>
        <v>-</v>
      </c>
      <c r="D41" s="544"/>
      <c r="E41" s="545"/>
      <c r="K41" s="143"/>
      <c r="M41" s="144"/>
      <c r="U41" s="14"/>
    </row>
    <row r="42" spans="1:21" ht="16.7" customHeight="1" x14ac:dyDescent="0.3">
      <c r="A42" s="303"/>
      <c r="B42" s="305"/>
      <c r="C42" s="241" t="str">
        <f>LOOKUP(B42,kruiden!A:A,kruiden!B:B)</f>
        <v>-</v>
      </c>
      <c r="D42" s="546"/>
      <c r="E42" s="547"/>
      <c r="K42" s="143"/>
      <c r="L42" s="144"/>
      <c r="M42" s="144"/>
      <c r="U42" s="14"/>
    </row>
    <row r="43" spans="1:21" ht="16.7" customHeight="1" thickBot="1" x14ac:dyDescent="0.35">
      <c r="A43" s="388"/>
      <c r="B43" s="307"/>
      <c r="C43" s="249" t="str">
        <f>LOOKUP(B43,kruiden!A:A,kruiden!B:B)</f>
        <v>-</v>
      </c>
      <c r="D43" s="548" t="s">
        <v>43</v>
      </c>
      <c r="E43" s="549"/>
      <c r="K43" s="143"/>
      <c r="L43" s="144"/>
      <c r="M43" s="144"/>
      <c r="U43" s="14"/>
    </row>
    <row r="44" spans="1:21" ht="15" customHeight="1" x14ac:dyDescent="0.3">
      <c r="A44" s="482" t="s">
        <v>44</v>
      </c>
      <c r="B44" s="483"/>
      <c r="C44" s="483"/>
      <c r="D44" s="564" t="s">
        <v>1057</v>
      </c>
      <c r="E44" s="564"/>
      <c r="K44" s="143"/>
      <c r="L44" s="144"/>
      <c r="M44" s="144"/>
      <c r="U44" s="14"/>
    </row>
    <row r="45" spans="1:21" ht="15" customHeight="1" x14ac:dyDescent="0.3">
      <c r="A45" s="482" t="s">
        <v>1056</v>
      </c>
      <c r="B45" s="483"/>
      <c r="C45" s="484"/>
      <c r="D45" s="381">
        <v>60</v>
      </c>
      <c r="E45" s="381">
        <v>0</v>
      </c>
      <c r="K45" s="143"/>
      <c r="L45" s="144"/>
      <c r="U45" s="14"/>
    </row>
    <row r="46" spans="1:21" ht="15" customHeight="1" x14ac:dyDescent="0.3">
      <c r="A46" s="482" t="s">
        <v>45</v>
      </c>
      <c r="B46" s="483"/>
      <c r="C46" s="484"/>
      <c r="D46" s="522"/>
      <c r="E46" s="522"/>
      <c r="K46" s="143"/>
      <c r="M46" s="144"/>
      <c r="U46" s="14"/>
    </row>
    <row r="47" spans="1:21" ht="15" customHeight="1" x14ac:dyDescent="0.3">
      <c r="A47" s="482" t="s">
        <v>46</v>
      </c>
      <c r="B47" s="483"/>
      <c r="C47" s="484"/>
      <c r="D47" s="523" t="s">
        <v>1088</v>
      </c>
      <c r="E47" s="524"/>
      <c r="K47" s="143"/>
      <c r="L47" s="144"/>
      <c r="M47" s="144"/>
      <c r="U47" s="14"/>
    </row>
    <row r="48" spans="1:21" ht="15" customHeight="1" x14ac:dyDescent="0.3">
      <c r="A48" s="482" t="s">
        <v>432</v>
      </c>
      <c r="B48" s="483"/>
      <c r="C48" s="484"/>
      <c r="D48" s="308">
        <v>0</v>
      </c>
      <c r="E48" s="309" t="s">
        <v>1081</v>
      </c>
      <c r="K48" s="143"/>
      <c r="L48" s="144"/>
      <c r="M48" s="144"/>
    </row>
    <row r="49" spans="1:21" ht="15" customHeight="1" x14ac:dyDescent="0.3">
      <c r="A49" s="482" t="s">
        <v>433</v>
      </c>
      <c r="B49" s="483"/>
      <c r="C49" s="484"/>
      <c r="D49" s="308">
        <v>0</v>
      </c>
      <c r="E49" s="309" t="s">
        <v>1082</v>
      </c>
      <c r="K49" s="143"/>
      <c r="L49" s="144"/>
      <c r="M49" s="144"/>
      <c r="U49" s="14"/>
    </row>
    <row r="50" spans="1:21" ht="15" customHeight="1" x14ac:dyDescent="0.3">
      <c r="A50" s="482" t="s">
        <v>47</v>
      </c>
      <c r="B50" s="483"/>
      <c r="C50" s="484"/>
      <c r="D50" s="533">
        <v>15</v>
      </c>
      <c r="E50" s="534"/>
      <c r="K50" s="143"/>
      <c r="L50" s="144"/>
      <c r="M50" s="144"/>
      <c r="U50" s="14"/>
    </row>
    <row r="51" spans="1:21" ht="15" customHeight="1" thickBot="1" x14ac:dyDescent="0.4">
      <c r="A51" s="482" t="s">
        <v>48</v>
      </c>
      <c r="B51" s="483"/>
      <c r="C51" s="484"/>
      <c r="D51" s="521"/>
      <c r="E51" s="521"/>
      <c r="K51" s="143"/>
      <c r="L51" s="144"/>
      <c r="M51" s="144"/>
      <c r="S51" s="134"/>
    </row>
    <row r="52" spans="1:21" ht="16.7" customHeight="1" x14ac:dyDescent="0.3">
      <c r="A52" s="509" t="s">
        <v>49</v>
      </c>
      <c r="B52" s="510"/>
      <c r="C52" s="511"/>
      <c r="D52" s="372">
        <v>44</v>
      </c>
      <c r="E52" s="373">
        <v>50</v>
      </c>
      <c r="F52" s="373">
        <v>62</v>
      </c>
      <c r="G52" s="373">
        <v>72</v>
      </c>
      <c r="H52" s="373">
        <v>78</v>
      </c>
      <c r="I52" s="159" t="s">
        <v>50</v>
      </c>
      <c r="J52" s="170">
        <v>100</v>
      </c>
      <c r="K52" s="160" t="s">
        <v>51</v>
      </c>
      <c r="L52" s="144"/>
    </row>
    <row r="53" spans="1:21" ht="16.7" customHeight="1" x14ac:dyDescent="0.35">
      <c r="A53" s="509" t="s">
        <v>52</v>
      </c>
      <c r="B53" s="510"/>
      <c r="C53" s="511"/>
      <c r="D53" s="310">
        <v>10</v>
      </c>
      <c r="E53" s="311">
        <v>10</v>
      </c>
      <c r="F53" s="311">
        <v>30</v>
      </c>
      <c r="G53" s="311">
        <v>20</v>
      </c>
      <c r="H53" s="311">
        <v>5</v>
      </c>
      <c r="I53" s="173">
        <f>SUM(D45,E45)</f>
        <v>60</v>
      </c>
      <c r="J53" s="171">
        <f>G8</f>
        <v>75</v>
      </c>
      <c r="K53" s="172">
        <f>tabellen!B18</f>
        <v>40</v>
      </c>
    </row>
    <row r="54" spans="1:21" ht="16.7" customHeight="1" x14ac:dyDescent="0.3">
      <c r="A54" s="509" t="s">
        <v>53</v>
      </c>
      <c r="B54" s="510"/>
      <c r="C54" s="511"/>
      <c r="D54" s="312">
        <v>5.5</v>
      </c>
      <c r="E54" s="313" t="s">
        <v>43</v>
      </c>
      <c r="F54" s="313" t="s">
        <v>43</v>
      </c>
      <c r="G54" s="313" t="s">
        <v>43</v>
      </c>
      <c r="H54" s="313" t="s">
        <v>43</v>
      </c>
      <c r="I54" s="313" t="s">
        <v>43</v>
      </c>
      <c r="J54" s="313" t="s">
        <v>43</v>
      </c>
      <c r="K54" s="314" t="s">
        <v>43</v>
      </c>
      <c r="L54" s="2" t="s">
        <v>43</v>
      </c>
    </row>
    <row r="55" spans="1:21" ht="16.7" customHeight="1" thickBot="1" x14ac:dyDescent="0.35">
      <c r="A55" s="512" t="s">
        <v>425</v>
      </c>
      <c r="B55" s="513"/>
      <c r="C55" s="514"/>
      <c r="D55" s="323" t="s">
        <v>43</v>
      </c>
      <c r="E55" s="324" t="s">
        <v>43</v>
      </c>
      <c r="F55" s="325" t="s">
        <v>43</v>
      </c>
      <c r="G55" s="325" t="s">
        <v>43</v>
      </c>
      <c r="H55" s="325" t="s">
        <v>43</v>
      </c>
      <c r="I55" s="324" t="s">
        <v>43</v>
      </c>
      <c r="J55" s="324">
        <v>18.100000000000001</v>
      </c>
      <c r="K55" s="326">
        <v>18.100000000000001</v>
      </c>
      <c r="U55" s="14"/>
    </row>
    <row r="56" spans="1:21" ht="16.7" customHeight="1" x14ac:dyDescent="0.3">
      <c r="A56" s="315"/>
      <c r="B56" s="515" t="s">
        <v>1042</v>
      </c>
      <c r="C56" s="516"/>
      <c r="D56" s="192">
        <f>A56*0.3</f>
        <v>0</v>
      </c>
      <c r="E56" s="553" t="s">
        <v>436</v>
      </c>
      <c r="F56" s="517" t="s">
        <v>54</v>
      </c>
      <c r="G56" s="518"/>
      <c r="H56" s="318">
        <v>1</v>
      </c>
      <c r="I56" s="519" t="s">
        <v>954</v>
      </c>
      <c r="J56" s="520"/>
      <c r="K56" s="321">
        <v>1.5</v>
      </c>
      <c r="U56" s="14"/>
    </row>
    <row r="57" spans="1:21" ht="16.7" customHeight="1" x14ac:dyDescent="0.3">
      <c r="A57" s="316">
        <v>0</v>
      </c>
      <c r="B57" s="507" t="s">
        <v>945</v>
      </c>
      <c r="C57" s="508"/>
      <c r="D57" s="193">
        <f>A57*0.75</f>
        <v>0</v>
      </c>
      <c r="E57" s="554"/>
      <c r="F57" s="551" t="s">
        <v>437</v>
      </c>
      <c r="G57" s="552"/>
      <c r="H57" s="319">
        <v>0.2</v>
      </c>
      <c r="I57" s="505" t="s">
        <v>955</v>
      </c>
      <c r="J57" s="506"/>
      <c r="K57" s="322">
        <v>3</v>
      </c>
      <c r="U57" s="14"/>
    </row>
    <row r="58" spans="1:21" ht="15.75" customHeight="1" thickBot="1" x14ac:dyDescent="0.35">
      <c r="A58" s="317"/>
      <c r="B58" s="503" t="s">
        <v>946</v>
      </c>
      <c r="C58" s="504"/>
      <c r="D58" s="194">
        <f>A58*10</f>
        <v>0</v>
      </c>
      <c r="E58" s="195">
        <f>SUM(D56,D57,D58)</f>
        <v>0</v>
      </c>
      <c r="F58" s="529" t="s">
        <v>438</v>
      </c>
      <c r="G58" s="530"/>
      <c r="H58" s="320">
        <v>2</v>
      </c>
      <c r="I58" s="531" t="s">
        <v>428</v>
      </c>
      <c r="J58" s="532"/>
      <c r="K58" s="268">
        <f>tabellen!E19/60</f>
        <v>5.3</v>
      </c>
      <c r="U58" s="14"/>
    </row>
    <row r="59" spans="1:21" ht="16.5" customHeight="1" x14ac:dyDescent="0.3">
      <c r="G59" s="145"/>
      <c r="U59" s="14"/>
    </row>
    <row r="60" spans="1:21" ht="16.5" customHeight="1" x14ac:dyDescent="0.3">
      <c r="B60" s="243"/>
      <c r="C60" s="242"/>
    </row>
    <row r="61" spans="1:21" ht="17.25" customHeight="1" x14ac:dyDescent="0.3"/>
    <row r="62" spans="1:21" ht="16.5" customHeight="1" x14ac:dyDescent="0.3"/>
    <row r="63" spans="1:21" ht="16.5" customHeight="1" x14ac:dyDescent="0.3"/>
    <row r="64" spans="1:21" ht="16.5" customHeight="1" x14ac:dyDescent="0.3"/>
    <row r="65" ht="17.25" customHeight="1" x14ac:dyDescent="0.3"/>
    <row r="66" ht="15" customHeight="1" x14ac:dyDescent="0.3"/>
    <row r="67" ht="17.25" customHeight="1" x14ac:dyDescent="0.3"/>
    <row r="68" ht="17.2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mergeCells count="121">
    <mergeCell ref="P25:P26"/>
    <mergeCell ref="F57:G57"/>
    <mergeCell ref="E56:E57"/>
    <mergeCell ref="G35:K35"/>
    <mergeCell ref="H30:K30"/>
    <mergeCell ref="H27:K27"/>
    <mergeCell ref="H29:K29"/>
    <mergeCell ref="H28:K28"/>
    <mergeCell ref="H31:K31"/>
    <mergeCell ref="D44:E44"/>
    <mergeCell ref="O25:O26"/>
    <mergeCell ref="F58:G58"/>
    <mergeCell ref="I58:J58"/>
    <mergeCell ref="D50:E50"/>
    <mergeCell ref="D36:E36"/>
    <mergeCell ref="F36:K36"/>
    <mergeCell ref="D37:E37"/>
    <mergeCell ref="D38:E38"/>
    <mergeCell ref="D41:E41"/>
    <mergeCell ref="D42:E42"/>
    <mergeCell ref="D43:E43"/>
    <mergeCell ref="S31:S32"/>
    <mergeCell ref="H32:K32"/>
    <mergeCell ref="H33:K33"/>
    <mergeCell ref="B58:C58"/>
    <mergeCell ref="I57:J57"/>
    <mergeCell ref="B57:C57"/>
    <mergeCell ref="A52:C52"/>
    <mergeCell ref="A55:C55"/>
    <mergeCell ref="A54:C54"/>
    <mergeCell ref="A53:C53"/>
    <mergeCell ref="B56:C56"/>
    <mergeCell ref="F56:G56"/>
    <mergeCell ref="I56:J56"/>
    <mergeCell ref="A50:C50"/>
    <mergeCell ref="A51:C51"/>
    <mergeCell ref="D51:E51"/>
    <mergeCell ref="D46:E46"/>
    <mergeCell ref="D47:E47"/>
    <mergeCell ref="A48:C48"/>
    <mergeCell ref="A49:C49"/>
    <mergeCell ref="A46:C46"/>
    <mergeCell ref="A47:C47"/>
    <mergeCell ref="D39:E39"/>
    <mergeCell ref="D40:E40"/>
    <mergeCell ref="H22:K22"/>
    <mergeCell ref="G9:G10"/>
    <mergeCell ref="H9:K10"/>
    <mergeCell ref="H11:K11"/>
    <mergeCell ref="H12:K12"/>
    <mergeCell ref="H13:K13"/>
    <mergeCell ref="H14:K14"/>
    <mergeCell ref="A44:C44"/>
    <mergeCell ref="A45:C45"/>
    <mergeCell ref="B35:C35"/>
    <mergeCell ref="D35:E35"/>
    <mergeCell ref="B23:E24"/>
    <mergeCell ref="H23:K24"/>
    <mergeCell ref="E25:E26"/>
    <mergeCell ref="F25:F26"/>
    <mergeCell ref="G25:G26"/>
    <mergeCell ref="H25:K26"/>
    <mergeCell ref="H34:K34"/>
    <mergeCell ref="A25:A26"/>
    <mergeCell ref="B25:B26"/>
    <mergeCell ref="C25:C26"/>
    <mergeCell ref="D25:D26"/>
    <mergeCell ref="A8:C8"/>
    <mergeCell ref="E8:F8"/>
    <mergeCell ref="H8:I8"/>
    <mergeCell ref="J8:K8"/>
    <mergeCell ref="A9:A10"/>
    <mergeCell ref="B9:B10"/>
    <mergeCell ref="C9:C10"/>
    <mergeCell ref="D9:D10"/>
    <mergeCell ref="E9:E10"/>
    <mergeCell ref="F9:F10"/>
    <mergeCell ref="A2:B2"/>
    <mergeCell ref="E2:K2"/>
    <mergeCell ref="A1:C1"/>
    <mergeCell ref="G1:H1"/>
    <mergeCell ref="E3:F3"/>
    <mergeCell ref="E7:F7"/>
    <mergeCell ref="A5:C5"/>
    <mergeCell ref="E5:F5"/>
    <mergeCell ref="H7:I7"/>
    <mergeCell ref="A4:C4"/>
    <mergeCell ref="E4:F4"/>
    <mergeCell ref="H4:I4"/>
    <mergeCell ref="H3:I3"/>
    <mergeCell ref="J7:K7"/>
    <mergeCell ref="A6:C6"/>
    <mergeCell ref="E6:F6"/>
    <mergeCell ref="H6:I6"/>
    <mergeCell ref="J6:K6"/>
    <mergeCell ref="H5:I5"/>
    <mergeCell ref="J5:K5"/>
    <mergeCell ref="A3:C3"/>
    <mergeCell ref="A7:C7"/>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15:K15"/>
    <mergeCell ref="H16:K16"/>
    <mergeCell ref="H17:K17"/>
    <mergeCell ref="H18:K18"/>
    <mergeCell ref="H19:K19"/>
    <mergeCell ref="H20:K20"/>
    <mergeCell ref="H21:K21"/>
  </mergeCells>
  <phoneticPr fontId="0" type="noConversion"/>
  <printOptions horizontalCentered="1" verticalCentered="1"/>
  <pageMargins left="0.47244094488188981" right="0.55118110236220474" top="0.59055118110236227" bottom="0.59055118110236227" header="0.31496062992125984" footer="0.15748031496062992"/>
  <pageSetup paperSize="9" scale="70" firstPageNumber="0" orientation="portrait" r:id="rId1"/>
  <headerFooter alignWithMargins="0">
    <oddHeader>&amp;L&amp;"Comic Sans MS,Standaard"&amp;8versie okt 2018&amp;C&amp;"Comic Sans MS,Vet"&amp;11Brouwschema en Logboek Bierbrouwen&amp;R&amp;8whp</oddHeader>
    <oddFooter>&amp;RGeprint: &amp;D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J3" sqref="J3"/>
    </sheetView>
  </sheetViews>
  <sheetFormatPr defaultRowHeight="12.75" x14ac:dyDescent="0.2"/>
  <cols>
    <col min="2" max="2" width="9.140625" style="203" customWidth="1"/>
    <col min="5" max="5" width="2.5703125" customWidth="1"/>
    <col min="6" max="8" width="9.140625" style="203" customWidth="1"/>
  </cols>
  <sheetData>
    <row r="1" spans="2:8" ht="13.5" thickBot="1" x14ac:dyDescent="0.25"/>
    <row r="2" spans="2:8" ht="37.5" customHeight="1" x14ac:dyDescent="0.2">
      <c r="B2" s="610" t="s">
        <v>887</v>
      </c>
      <c r="C2" s="611"/>
      <c r="D2" s="611"/>
      <c r="E2" s="611"/>
      <c r="F2" s="611"/>
      <c r="G2" s="611"/>
      <c r="H2" s="612"/>
    </row>
    <row r="3" spans="2:8" ht="66" customHeight="1" thickBot="1" x14ac:dyDescent="0.25">
      <c r="B3" s="607" t="s">
        <v>1054</v>
      </c>
      <c r="C3" s="608"/>
      <c r="D3" s="608"/>
      <c r="E3" s="608"/>
      <c r="F3" s="608"/>
      <c r="G3" s="608"/>
      <c r="H3" s="609"/>
    </row>
    <row r="4" spans="2:8" s="203" customFormat="1" ht="15" x14ac:dyDescent="0.3">
      <c r="B4" s="206" t="s">
        <v>94</v>
      </c>
      <c r="C4" s="204" t="s">
        <v>888</v>
      </c>
      <c r="D4" s="204" t="s">
        <v>889</v>
      </c>
      <c r="E4" s="613"/>
      <c r="F4" s="204" t="s">
        <v>94</v>
      </c>
      <c r="G4" s="204" t="s">
        <v>888</v>
      </c>
      <c r="H4" s="205" t="s">
        <v>889</v>
      </c>
    </row>
    <row r="5" spans="2:8" ht="15" x14ac:dyDescent="0.3">
      <c r="B5" s="209">
        <v>1000</v>
      </c>
      <c r="C5" s="211">
        <v>0</v>
      </c>
      <c r="D5" s="214">
        <v>0</v>
      </c>
      <c r="E5" s="614"/>
      <c r="F5" s="207">
        <v>1060</v>
      </c>
      <c r="G5" s="216">
        <v>14.8</v>
      </c>
      <c r="H5" s="218">
        <v>15.3</v>
      </c>
    </row>
    <row r="6" spans="2:8" ht="15" x14ac:dyDescent="0.3">
      <c r="B6" s="209">
        <v>1002</v>
      </c>
      <c r="C6" s="211">
        <v>0.5</v>
      </c>
      <c r="D6" s="214">
        <v>0.5</v>
      </c>
      <c r="E6" s="614"/>
      <c r="F6" s="207">
        <v>1062</v>
      </c>
      <c r="G6" s="216">
        <v>15.3</v>
      </c>
      <c r="H6" s="218">
        <v>15.7</v>
      </c>
    </row>
    <row r="7" spans="2:8" ht="15" x14ac:dyDescent="0.3">
      <c r="B7" s="209">
        <v>1004</v>
      </c>
      <c r="C7" s="211">
        <v>1</v>
      </c>
      <c r="D7" s="214">
        <v>1</v>
      </c>
      <c r="E7" s="614"/>
      <c r="F7" s="207">
        <v>1064</v>
      </c>
      <c r="G7" s="216">
        <v>15.8</v>
      </c>
      <c r="H7" s="218">
        <v>16.2</v>
      </c>
    </row>
    <row r="8" spans="2:8" ht="15" x14ac:dyDescent="0.3">
      <c r="B8" s="209">
        <v>1006</v>
      </c>
      <c r="C8" s="211">
        <v>1.5</v>
      </c>
      <c r="D8" s="214">
        <v>1.5</v>
      </c>
      <c r="E8" s="614"/>
      <c r="F8" s="207">
        <v>1066</v>
      </c>
      <c r="G8" s="216">
        <v>16.2</v>
      </c>
      <c r="H8" s="218">
        <v>16.7</v>
      </c>
    </row>
    <row r="9" spans="2:8" ht="15" x14ac:dyDescent="0.3">
      <c r="B9" s="209">
        <v>1008</v>
      </c>
      <c r="C9" s="211">
        <v>2</v>
      </c>
      <c r="D9" s="214">
        <v>2</v>
      </c>
      <c r="E9" s="614"/>
      <c r="F9" s="207">
        <v>1068</v>
      </c>
      <c r="G9" s="216">
        <v>16.7</v>
      </c>
      <c r="H9" s="218">
        <v>17.2</v>
      </c>
    </row>
    <row r="10" spans="2:8" ht="15" x14ac:dyDescent="0.3">
      <c r="B10" s="209">
        <v>1010</v>
      </c>
      <c r="C10" s="211">
        <v>2.5</v>
      </c>
      <c r="D10" s="214">
        <v>2.5</v>
      </c>
      <c r="E10" s="614"/>
      <c r="F10" s="207">
        <v>1070</v>
      </c>
      <c r="G10" s="216">
        <v>17.2</v>
      </c>
      <c r="H10" s="218">
        <v>17.7</v>
      </c>
    </row>
    <row r="11" spans="2:8" ht="15" x14ac:dyDescent="0.3">
      <c r="B11" s="209">
        <v>1012</v>
      </c>
      <c r="C11" s="211">
        <v>3</v>
      </c>
      <c r="D11" s="214">
        <v>3.1</v>
      </c>
      <c r="E11" s="614"/>
      <c r="F11" s="207">
        <v>1072</v>
      </c>
      <c r="G11" s="216">
        <v>17.7</v>
      </c>
      <c r="H11" s="218">
        <v>18.2</v>
      </c>
    </row>
    <row r="12" spans="2:8" ht="15" x14ac:dyDescent="0.3">
      <c r="B12" s="209">
        <v>1014</v>
      </c>
      <c r="C12" s="211">
        <v>3.5</v>
      </c>
      <c r="D12" s="214">
        <v>3.6</v>
      </c>
      <c r="E12" s="614"/>
      <c r="F12" s="207">
        <v>1074</v>
      </c>
      <c r="G12" s="216">
        <v>18.100000000000001</v>
      </c>
      <c r="H12" s="218">
        <v>18.7</v>
      </c>
    </row>
    <row r="13" spans="2:8" ht="15" x14ac:dyDescent="0.3">
      <c r="B13" s="209">
        <v>1016</v>
      </c>
      <c r="C13" s="211">
        <v>4</v>
      </c>
      <c r="D13" s="214">
        <v>4.0999999999999996</v>
      </c>
      <c r="E13" s="614"/>
      <c r="F13" s="207">
        <v>1076</v>
      </c>
      <c r="G13" s="216">
        <v>18.600000000000001</v>
      </c>
      <c r="H13" s="218">
        <v>19.100000000000001</v>
      </c>
    </row>
    <row r="14" spans="2:8" ht="15" x14ac:dyDescent="0.3">
      <c r="B14" s="209">
        <v>1018</v>
      </c>
      <c r="C14" s="211">
        <v>4.5</v>
      </c>
      <c r="D14" s="214">
        <v>4.5999999999999996</v>
      </c>
      <c r="E14" s="614"/>
      <c r="F14" s="207">
        <v>1078</v>
      </c>
      <c r="G14" s="216">
        <v>19</v>
      </c>
      <c r="H14" s="218">
        <v>19.600000000000001</v>
      </c>
    </row>
    <row r="15" spans="2:8" ht="15" x14ac:dyDescent="0.3">
      <c r="B15" s="209">
        <v>1020</v>
      </c>
      <c r="C15" s="211">
        <v>5</v>
      </c>
      <c r="D15" s="214">
        <v>5.0999999999999996</v>
      </c>
      <c r="E15" s="614"/>
      <c r="F15" s="207">
        <v>1080</v>
      </c>
      <c r="G15" s="216">
        <v>19.5</v>
      </c>
      <c r="H15" s="218">
        <v>20.100000000000001</v>
      </c>
    </row>
    <row r="16" spans="2:8" ht="15" x14ac:dyDescent="0.3">
      <c r="B16" s="209">
        <v>1022</v>
      </c>
      <c r="C16" s="211">
        <v>5.5</v>
      </c>
      <c r="D16" s="214">
        <v>5.6</v>
      </c>
      <c r="E16" s="614"/>
      <c r="F16" s="207">
        <v>1082</v>
      </c>
      <c r="G16" s="220">
        <v>20</v>
      </c>
      <c r="H16" s="218">
        <v>20.6</v>
      </c>
    </row>
    <row r="17" spans="2:8" ht="15" x14ac:dyDescent="0.3">
      <c r="B17" s="209">
        <v>1024</v>
      </c>
      <c r="C17" s="211">
        <v>6</v>
      </c>
      <c r="D17" s="214">
        <v>6.1</v>
      </c>
      <c r="E17" s="614"/>
      <c r="F17" s="207">
        <v>1084</v>
      </c>
      <c r="G17" s="216">
        <v>20.399999999999999</v>
      </c>
      <c r="H17" s="218">
        <v>21</v>
      </c>
    </row>
    <row r="18" spans="2:8" ht="15" x14ac:dyDescent="0.3">
      <c r="B18" s="209">
        <v>1026</v>
      </c>
      <c r="C18" s="211">
        <v>6.5</v>
      </c>
      <c r="D18" s="214">
        <v>6.7</v>
      </c>
      <c r="E18" s="614"/>
      <c r="F18" s="207">
        <v>1086</v>
      </c>
      <c r="G18" s="216">
        <v>20.9</v>
      </c>
      <c r="H18" s="218">
        <v>21.5</v>
      </c>
    </row>
    <row r="19" spans="2:8" ht="15" x14ac:dyDescent="0.3">
      <c r="B19" s="209">
        <v>1028</v>
      </c>
      <c r="C19" s="211">
        <v>7</v>
      </c>
      <c r="D19" s="214">
        <v>7.2</v>
      </c>
      <c r="E19" s="614"/>
      <c r="F19" s="207">
        <v>1088</v>
      </c>
      <c r="G19" s="216">
        <v>21.3</v>
      </c>
      <c r="H19" s="218">
        <v>22</v>
      </c>
    </row>
    <row r="20" spans="2:8" ht="15" x14ac:dyDescent="0.3">
      <c r="B20" s="209">
        <v>1030</v>
      </c>
      <c r="C20" s="211">
        <v>7.5</v>
      </c>
      <c r="D20" s="214">
        <v>7.7</v>
      </c>
      <c r="E20" s="614"/>
      <c r="F20" s="207">
        <v>1090</v>
      </c>
      <c r="G20" s="216">
        <v>21.8</v>
      </c>
      <c r="H20" s="218">
        <v>22.4</v>
      </c>
    </row>
    <row r="21" spans="2:8" ht="15" x14ac:dyDescent="0.3">
      <c r="B21" s="209">
        <v>1032</v>
      </c>
      <c r="C21" s="211">
        <v>8</v>
      </c>
      <c r="D21" s="214">
        <v>8.1999999999999993</v>
      </c>
      <c r="E21" s="614"/>
      <c r="F21" s="207">
        <v>1092</v>
      </c>
      <c r="G21" s="216">
        <v>22.2</v>
      </c>
      <c r="H21" s="218">
        <v>22.9</v>
      </c>
    </row>
    <row r="22" spans="2:8" ht="15" x14ac:dyDescent="0.3">
      <c r="B22" s="209">
        <v>1034</v>
      </c>
      <c r="C22" s="211">
        <v>8.5</v>
      </c>
      <c r="D22" s="214">
        <v>8.6999999999999993</v>
      </c>
      <c r="E22" s="614"/>
      <c r="F22" s="207">
        <v>1094</v>
      </c>
      <c r="G22" s="216">
        <v>22.7</v>
      </c>
      <c r="H22" s="218">
        <v>23.4</v>
      </c>
    </row>
    <row r="23" spans="2:8" ht="15" x14ac:dyDescent="0.3">
      <c r="B23" s="209">
        <v>1036</v>
      </c>
      <c r="C23" s="211">
        <v>8.9</v>
      </c>
      <c r="D23" s="214">
        <v>9.1999999999999993</v>
      </c>
      <c r="E23" s="614"/>
      <c r="F23" s="207">
        <v>1096</v>
      </c>
      <c r="G23" s="216">
        <v>23.1</v>
      </c>
      <c r="H23" s="218">
        <v>23.8</v>
      </c>
    </row>
    <row r="24" spans="2:8" ht="15" x14ac:dyDescent="0.3">
      <c r="B24" s="209">
        <v>1038</v>
      </c>
      <c r="C24" s="211">
        <v>9.4</v>
      </c>
      <c r="D24" s="214">
        <v>9.6999999999999993</v>
      </c>
      <c r="E24" s="614"/>
      <c r="F24" s="207">
        <v>1098</v>
      </c>
      <c r="G24" s="216">
        <v>23.6</v>
      </c>
      <c r="H24" s="218">
        <v>24.3</v>
      </c>
    </row>
    <row r="25" spans="2:8" ht="15" x14ac:dyDescent="0.3">
      <c r="B25" s="209">
        <v>1040</v>
      </c>
      <c r="C25" s="211">
        <v>9.9</v>
      </c>
      <c r="D25" s="214">
        <v>10.199999999999999</v>
      </c>
      <c r="E25" s="614"/>
      <c r="F25" s="207">
        <v>1100</v>
      </c>
      <c r="G25" s="216">
        <v>24</v>
      </c>
      <c r="H25" s="218">
        <v>24.7</v>
      </c>
    </row>
    <row r="26" spans="2:8" ht="15" x14ac:dyDescent="0.3">
      <c r="B26" s="209">
        <v>1042</v>
      </c>
      <c r="C26" s="211">
        <v>10.4</v>
      </c>
      <c r="D26" s="214">
        <v>10.7</v>
      </c>
      <c r="E26" s="614"/>
      <c r="F26" s="207">
        <v>1102</v>
      </c>
      <c r="G26" s="216">
        <v>24.4</v>
      </c>
      <c r="H26" s="218">
        <v>25.2</v>
      </c>
    </row>
    <row r="27" spans="2:8" ht="15" x14ac:dyDescent="0.3">
      <c r="B27" s="209">
        <v>1044</v>
      </c>
      <c r="C27" s="211">
        <v>10.9</v>
      </c>
      <c r="D27" s="214">
        <v>11.2</v>
      </c>
      <c r="E27" s="614"/>
      <c r="F27" s="207">
        <v>1104</v>
      </c>
      <c r="G27" s="216">
        <v>24.8</v>
      </c>
      <c r="H27" s="218">
        <v>25.6</v>
      </c>
    </row>
    <row r="28" spans="2:8" ht="15" x14ac:dyDescent="0.3">
      <c r="B28" s="209">
        <v>1046</v>
      </c>
      <c r="C28" s="211">
        <v>11.4</v>
      </c>
      <c r="D28" s="214">
        <v>11.8</v>
      </c>
      <c r="E28" s="614"/>
      <c r="F28" s="207">
        <v>1106</v>
      </c>
      <c r="G28" s="216">
        <v>25.3</v>
      </c>
      <c r="H28" s="218">
        <v>26</v>
      </c>
    </row>
    <row r="29" spans="2:8" ht="15" x14ac:dyDescent="0.3">
      <c r="B29" s="209">
        <v>1048</v>
      </c>
      <c r="C29" s="211">
        <v>11.9</v>
      </c>
      <c r="D29" s="214">
        <v>12.3</v>
      </c>
      <c r="E29" s="614"/>
      <c r="F29" s="207">
        <v>1108</v>
      </c>
      <c r="G29" s="216">
        <v>25.7</v>
      </c>
      <c r="H29" s="218">
        <v>26.5</v>
      </c>
    </row>
    <row r="30" spans="2:8" ht="15" x14ac:dyDescent="0.3">
      <c r="B30" s="209">
        <v>1050</v>
      </c>
      <c r="C30" s="212">
        <v>12.4</v>
      </c>
      <c r="D30" s="214">
        <v>12.8</v>
      </c>
      <c r="E30" s="614"/>
      <c r="F30" s="207">
        <v>1110</v>
      </c>
      <c r="G30" s="216">
        <v>26.1</v>
      </c>
      <c r="H30" s="218">
        <v>26.9</v>
      </c>
    </row>
    <row r="31" spans="2:8" ht="15" x14ac:dyDescent="0.3">
      <c r="B31" s="209">
        <v>1052</v>
      </c>
      <c r="C31" s="212">
        <v>12.9</v>
      </c>
      <c r="D31" s="214">
        <v>13.3</v>
      </c>
      <c r="E31" s="614"/>
      <c r="F31" s="207">
        <v>1112</v>
      </c>
      <c r="G31" s="216">
        <v>26.5</v>
      </c>
      <c r="H31" s="218">
        <v>27.3</v>
      </c>
    </row>
    <row r="32" spans="2:8" ht="15" x14ac:dyDescent="0.3">
      <c r="B32" s="209">
        <v>1054</v>
      </c>
      <c r="C32" s="212">
        <v>13.4</v>
      </c>
      <c r="D32" s="214">
        <v>13.8</v>
      </c>
      <c r="E32" s="614"/>
      <c r="F32" s="207">
        <v>1114</v>
      </c>
      <c r="G32" s="216">
        <v>26.9</v>
      </c>
      <c r="H32" s="218">
        <v>27.8</v>
      </c>
    </row>
    <row r="33" spans="2:8" ht="15" x14ac:dyDescent="0.3">
      <c r="B33" s="209">
        <v>1056</v>
      </c>
      <c r="C33" s="212">
        <v>13.8</v>
      </c>
      <c r="D33" s="214">
        <v>14.3</v>
      </c>
      <c r="E33" s="614"/>
      <c r="F33" s="207">
        <v>1116</v>
      </c>
      <c r="G33" s="216">
        <v>27.4</v>
      </c>
      <c r="H33" s="218">
        <v>28.2</v>
      </c>
    </row>
    <row r="34" spans="2:8" ht="15.75" thickBot="1" x14ac:dyDescent="0.35">
      <c r="B34" s="210">
        <v>1058</v>
      </c>
      <c r="C34" s="213">
        <v>14.3</v>
      </c>
      <c r="D34" s="215">
        <v>14.8</v>
      </c>
      <c r="E34" s="615"/>
      <c r="F34" s="208">
        <v>1118</v>
      </c>
      <c r="G34" s="217">
        <v>27.8</v>
      </c>
      <c r="H34" s="219">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16" t="s">
        <v>55</v>
      </c>
      <c r="B1" s="616"/>
      <c r="C1" s="616"/>
      <c r="D1" s="616"/>
      <c r="E1" s="616"/>
      <c r="F1" s="616"/>
      <c r="H1" s="3" t="s">
        <v>56</v>
      </c>
      <c r="I1" s="39" t="s">
        <v>36</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17" t="s">
        <v>57</v>
      </c>
      <c r="B2" s="618" t="s">
        <v>58</v>
      </c>
      <c r="C2" s="618" t="s">
        <v>43</v>
      </c>
      <c r="D2" s="619" t="s">
        <v>59</v>
      </c>
      <c r="E2" s="619" t="s">
        <v>60</v>
      </c>
      <c r="F2" s="620"/>
      <c r="H2" s="3" t="s">
        <v>61</v>
      </c>
      <c r="I2" s="39" t="s">
        <v>62</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17"/>
      <c r="B3" s="618"/>
      <c r="C3" s="618"/>
      <c r="D3" s="618"/>
      <c r="E3" s="618"/>
      <c r="F3" s="620"/>
      <c r="H3" s="3"/>
      <c r="I3" s="3" t="s">
        <v>63</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1">
        <f>'berekening Wort'!D52</f>
        <v>44</v>
      </c>
      <c r="B4" s="622">
        <f>'berekening Wort'!D53</f>
        <v>10</v>
      </c>
      <c r="C4" s="43" t="s">
        <v>64</v>
      </c>
      <c r="D4" s="44">
        <f>A4</f>
        <v>44</v>
      </c>
      <c r="E4" s="45">
        <v>0</v>
      </c>
      <c r="F4" s="623"/>
      <c r="H4" s="4"/>
      <c r="I4" s="4" t="s">
        <v>43</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1"/>
      <c r="B5" s="622"/>
      <c r="C5" s="43" t="s">
        <v>65</v>
      </c>
      <c r="D5" s="46">
        <f>IF(A4="spoelen",A2-B4*'berekening Wort'!$H$57,IF(A4="koelen",A2-B4*'berekening Wort'!$H$58,A4))</f>
        <v>44</v>
      </c>
      <c r="E5" s="45">
        <f>E4+B4</f>
        <v>10</v>
      </c>
      <c r="F5" s="623"/>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4">
        <f>'berekening Wort'!E52</f>
        <v>50</v>
      </c>
      <c r="B6" s="625">
        <f>'berekening Wort'!E53</f>
        <v>10</v>
      </c>
      <c r="C6" s="43" t="s">
        <v>64</v>
      </c>
      <c r="D6" s="44">
        <f>IF(A6&lt;200,A6,A4)</f>
        <v>50</v>
      </c>
      <c r="E6" s="45">
        <f>IF(D6&lt;=D5,E5,IF(D6&gt;D5,E5+((D6-D5)/'berekening Wort'!$H$56)))</f>
        <v>16</v>
      </c>
      <c r="F6" s="626"/>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4"/>
      <c r="B7" s="625"/>
      <c r="C7" s="43" t="s">
        <v>65</v>
      </c>
      <c r="D7" s="46">
        <f>IF(A6="spoelen",A4-B6*'berekening Wort'!$H$57,IF(A6="koelen",A4-B6*'berekening Wort'!$H$58,A6))</f>
        <v>50</v>
      </c>
      <c r="E7" s="45">
        <f>E6+B6</f>
        <v>26</v>
      </c>
      <c r="F7" s="626"/>
      <c r="H7" s="3"/>
      <c r="I7" s="3"/>
      <c r="J7" s="47" t="s">
        <v>66</v>
      </c>
      <c r="K7" s="48">
        <f>(('berekening Wort'!G4-1000)-('berekening Wort'!F20+'berekening Wort'!F21+'berekening Wort'!F22))+1000</f>
        <v>1061.9244028000001</v>
      </c>
      <c r="L7" s="3"/>
      <c r="M7" s="49" t="s">
        <v>67</v>
      </c>
      <c r="N7" s="3"/>
      <c r="O7" s="3"/>
      <c r="P7" s="3"/>
      <c r="Q7" s="48">
        <f>ROUND((K7/10),0)*10</f>
        <v>1060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4">
        <f>'berekening Wort'!F52</f>
        <v>62</v>
      </c>
      <c r="B8" s="625">
        <f>'berekening Wort'!F53</f>
        <v>30</v>
      </c>
      <c r="C8" s="43" t="s">
        <v>64</v>
      </c>
      <c r="D8" s="44">
        <f>IF(A8&lt;200,A8,A6)</f>
        <v>62</v>
      </c>
      <c r="E8" s="45">
        <f>IF(D8&lt;=D7,E7,IF(D8&gt;D7,E7+((D8-D7)/'berekening Wort'!$H$56)))</f>
        <v>38</v>
      </c>
      <c r="F8" s="626"/>
      <c r="H8" s="11"/>
      <c r="I8" s="11"/>
      <c r="J8" s="11"/>
      <c r="K8" s="11"/>
      <c r="L8" s="11"/>
      <c r="M8" s="11"/>
      <c r="N8" s="11"/>
      <c r="O8" s="11"/>
      <c r="P8" s="11"/>
      <c r="Q8" s="11"/>
      <c r="R8" s="11"/>
      <c r="S8" s="11"/>
      <c r="T8" s="11"/>
      <c r="U8" s="50" t="s">
        <v>68</v>
      </c>
      <c r="V8" s="51" t="s">
        <v>69</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4"/>
      <c r="B9" s="625"/>
      <c r="C9" s="43" t="s">
        <v>65</v>
      </c>
      <c r="D9" s="46">
        <f>IF(A8="spoelen",A6-B8*'berekening Wort'!$H$57,IF(A8="koelen",A6-B8*'berekening Wort'!$H$58,A8))</f>
        <v>62</v>
      </c>
      <c r="E9" s="45">
        <f>E8+B8</f>
        <v>68</v>
      </c>
      <c r="F9" s="626"/>
      <c r="H9" s="3" t="s">
        <v>70</v>
      </c>
      <c r="I9" s="3" t="s">
        <v>71</v>
      </c>
      <c r="J9" s="3"/>
      <c r="K9" s="3" t="s">
        <v>72</v>
      </c>
      <c r="L9" s="3" t="s">
        <v>73</v>
      </c>
      <c r="M9" s="3" t="s">
        <v>68</v>
      </c>
      <c r="N9" s="3" t="s">
        <v>74</v>
      </c>
      <c r="O9" s="3"/>
      <c r="P9" s="3" t="s">
        <v>75</v>
      </c>
      <c r="Q9" s="3"/>
      <c r="R9" s="3"/>
      <c r="S9" s="3" t="s">
        <v>76</v>
      </c>
      <c r="U9" s="56" t="s">
        <v>77</v>
      </c>
      <c r="V9" s="57">
        <v>1030</v>
      </c>
      <c r="W9" s="57">
        <v>1040</v>
      </c>
      <c r="X9" s="57">
        <v>1050</v>
      </c>
      <c r="Y9" s="57">
        <v>1060</v>
      </c>
      <c r="Z9" s="57">
        <v>1070</v>
      </c>
      <c r="AA9" s="57">
        <v>1080</v>
      </c>
      <c r="AB9" s="57">
        <v>1090</v>
      </c>
      <c r="AC9" s="57">
        <v>1100</v>
      </c>
      <c r="AD9" s="58">
        <v>1110</v>
      </c>
      <c r="AL9" s="11"/>
    </row>
    <row r="10" spans="1:64" ht="15" customHeight="1" x14ac:dyDescent="0.35">
      <c r="A10" s="624">
        <f>'berekening Wort'!G52</f>
        <v>72</v>
      </c>
      <c r="B10" s="625">
        <f>'berekening Wort'!G53</f>
        <v>20</v>
      </c>
      <c r="C10" s="43" t="s">
        <v>64</v>
      </c>
      <c r="D10" s="44">
        <f>IF(A10&lt;200,A10,A8)</f>
        <v>72</v>
      </c>
      <c r="E10" s="45">
        <f>IF(D10&lt;=D9,E9,IF(D10&gt;D9,E9+((D10-D9)/'berekening Wort'!$H$56)))</f>
        <v>78</v>
      </c>
      <c r="F10" s="626"/>
      <c r="H10" s="59">
        <v>1</v>
      </c>
      <c r="I10" s="60">
        <f>L10*K10*N10</f>
        <v>17.536747614845865</v>
      </c>
      <c r="J10" s="61"/>
      <c r="K10" s="62">
        <f>'berekening Wort'!$D$27</f>
        <v>5.7</v>
      </c>
      <c r="L10" s="61">
        <f>(10/'berekening Wort'!$D$8)*'berekening Wort'!$A$27</f>
        <v>14</v>
      </c>
      <c r="M10" s="61">
        <f>'berekening Wort'!$E$27</f>
        <v>75</v>
      </c>
      <c r="N10" s="63">
        <f>VLOOKUP($Q$7,Q10:S18,3)</f>
        <v>0.21975874204067503</v>
      </c>
      <c r="O10" s="61"/>
      <c r="P10" s="59">
        <f t="shared" ref="P10:P18" si="0">M$10</f>
        <v>75</v>
      </c>
      <c r="Q10" s="61">
        <v>1030</v>
      </c>
      <c r="R10" s="61"/>
      <c r="S10" s="64">
        <f>-0.000000004160625*P10^4+0.000001400652572*P10^3-0.000181473605536*P10^2+0.011274897128777*P10+0.003458016386372</f>
        <v>0.28754179832652194</v>
      </c>
      <c r="U10" s="65">
        <v>0</v>
      </c>
      <c r="V10" s="42"/>
      <c r="W10" s="42">
        <v>0</v>
      </c>
      <c r="X10" s="42">
        <v>0</v>
      </c>
      <c r="Y10" s="42">
        <v>0</v>
      </c>
      <c r="Z10" s="42">
        <v>0</v>
      </c>
      <c r="AA10" s="42">
        <v>0</v>
      </c>
      <c r="AB10" s="42">
        <v>0</v>
      </c>
      <c r="AC10" s="42">
        <v>0</v>
      </c>
      <c r="AD10" s="66">
        <v>0</v>
      </c>
    </row>
    <row r="11" spans="1:64" ht="15" customHeight="1" x14ac:dyDescent="0.35">
      <c r="A11" s="624"/>
      <c r="B11" s="625"/>
      <c r="C11" s="43" t="s">
        <v>65</v>
      </c>
      <c r="D11" s="46">
        <f>IF(A10="spoelen",A8-B10*'berekening Wort'!$H$57,IF(A10="koelen",A8-B10*'berekening Wort'!$H$58,A10))</f>
        <v>72</v>
      </c>
      <c r="E11" s="45">
        <f>E10+B10</f>
        <v>98</v>
      </c>
      <c r="F11" s="626"/>
      <c r="H11" s="67"/>
      <c r="I11" s="3"/>
      <c r="J11" s="3"/>
      <c r="K11" s="3"/>
      <c r="L11" s="3"/>
      <c r="M11" s="3"/>
      <c r="N11" s="3"/>
      <c r="O11" s="3"/>
      <c r="P11" s="67">
        <f t="shared" si="0"/>
        <v>75</v>
      </c>
      <c r="Q11" s="3">
        <f t="shared" ref="Q11:Q18" si="1">Q10+10</f>
        <v>1040</v>
      </c>
      <c r="R11" s="3"/>
      <c r="S11" s="68">
        <f>-0.00000000404429*P11^4+0.000001339772834*P11^3-0.000170725602247*P11^2+0.010460178147039*P11+0.001506400549522</f>
        <v>0.262941050000572</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4">
        <f>'berekening Wort'!H52</f>
        <v>78</v>
      </c>
      <c r="B12" s="625">
        <f>'berekening Wort'!H53</f>
        <v>5</v>
      </c>
      <c r="C12" s="43" t="s">
        <v>64</v>
      </c>
      <c r="D12" s="44">
        <f>IF(A12&lt;200,A12,"$#VERW!$#VERW!")</f>
        <v>78</v>
      </c>
      <c r="E12" s="45">
        <f>IF(D12&lt;=D11,E11,IF(D12&gt;D11,E11+((D12-D11)/'berekening Wort'!$H$56)))</f>
        <v>104</v>
      </c>
      <c r="F12" s="626"/>
      <c r="H12" s="67"/>
      <c r="I12" s="3"/>
      <c r="J12" s="3"/>
      <c r="K12" s="3"/>
      <c r="L12" s="3"/>
      <c r="M12" s="3"/>
      <c r="N12" s="3"/>
      <c r="O12" s="3"/>
      <c r="P12" s="67">
        <f t="shared" si="0"/>
        <v>75</v>
      </c>
      <c r="Q12" s="3">
        <f t="shared" si="1"/>
        <v>1050</v>
      </c>
      <c r="R12" s="3"/>
      <c r="S12" s="68">
        <f>-0.00000000370590974*P12^4+0.00000122828391004*P12^3-0.0001563391365506*P12^2+0.00956255390260585*P12+0.00157137</f>
        <v>0.24028024377925131</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4"/>
      <c r="B13" s="625"/>
      <c r="C13" s="43" t="s">
        <v>65</v>
      </c>
      <c r="D13" s="46">
        <f>IF(A12="spoelen",A10-B12*'berekening Wort'!$H$57,IF(A12="koelen",A10-B12*'berekening Wort'!$H$58,A12))</f>
        <v>78</v>
      </c>
      <c r="E13" s="45">
        <f>E12+B12</f>
        <v>109</v>
      </c>
      <c r="F13" s="626"/>
      <c r="H13" s="67"/>
      <c r="I13" s="72"/>
      <c r="J13" s="3"/>
      <c r="K13" s="3"/>
      <c r="L13" s="3"/>
      <c r="M13" s="3"/>
      <c r="N13" s="3"/>
      <c r="O13" s="3"/>
      <c r="P13" s="67">
        <f t="shared" si="0"/>
        <v>75</v>
      </c>
      <c r="Q13" s="3">
        <f t="shared" si="1"/>
        <v>1060</v>
      </c>
      <c r="R13" s="3"/>
      <c r="S13" s="68">
        <f>-0.0000000033976765*P13^4+0.0000011250152533*P13^3-0.0001431864396158*P13^2+0.008759416332019*P13+0.001115038</f>
        <v>0.21975874204067503</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27" t="str">
        <f>'berekening Wort'!I52</f>
        <v>spoelen</v>
      </c>
      <c r="B14" s="628">
        <f>'berekening Wort'!I53</f>
        <v>60</v>
      </c>
      <c r="C14" s="43" t="s">
        <v>64</v>
      </c>
      <c r="D14" s="44">
        <f>IF(A14&lt;200,A14,A12)</f>
        <v>78</v>
      </c>
      <c r="E14" s="45">
        <f>IF(D14&lt;=D13,E13,IF(D14&gt;D13,E13+((D14-D13)/'berekening Wort'!$H$56)))</f>
        <v>109</v>
      </c>
      <c r="F14" s="629"/>
      <c r="H14" s="67"/>
      <c r="I14" s="3"/>
      <c r="J14" s="3"/>
      <c r="K14" s="3"/>
      <c r="L14" s="3"/>
      <c r="M14" s="3"/>
      <c r="N14" s="3"/>
      <c r="O14" s="3"/>
      <c r="P14" s="67">
        <f t="shared" si="0"/>
        <v>75</v>
      </c>
      <c r="Q14" s="3">
        <f t="shared" si="1"/>
        <v>1070</v>
      </c>
      <c r="R14" s="3"/>
      <c r="S14" s="68">
        <f>-0.0000000030945005*P14^4+0.0000010249690135*P14^3-0.0001305179756368*P14^2+0.0079878274782061*P14+0.0012641886374256</f>
        <v>0.20068450923338316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27"/>
      <c r="B15" s="628"/>
      <c r="C15" s="43" t="s">
        <v>65</v>
      </c>
      <c r="D15" s="46">
        <f>IF(A14="spoelen",A12-B14*'berekening Wort'!$H$57,IF(A14="koelen",A12-B14*'berekening Wort'!$H$58,A14))</f>
        <v>66</v>
      </c>
      <c r="E15" s="45">
        <f>E14+B14</f>
        <v>169</v>
      </c>
      <c r="F15" s="629"/>
      <c r="H15" s="67"/>
      <c r="I15" s="3"/>
      <c r="J15" s="39"/>
      <c r="K15" s="3"/>
      <c r="L15" s="3"/>
      <c r="M15" s="3"/>
      <c r="N15" s="3"/>
      <c r="O15" s="3"/>
      <c r="P15" s="67">
        <f t="shared" si="0"/>
        <v>75</v>
      </c>
      <c r="Q15" s="3">
        <f t="shared" si="1"/>
        <v>1080</v>
      </c>
      <c r="R15" s="3"/>
      <c r="S15" s="68">
        <f>-0.0000000027738693*P15^4+0.0000009246851463*P15^3-0.0001185031570336*P15^2+0.0072869681745214*P15+0.0011774964971938</f>
        <v>0.18345443904729875</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27">
        <f>'berekening Wort'!J52</f>
        <v>100</v>
      </c>
      <c r="B16" s="628">
        <f>'berekening Wort'!J53</f>
        <v>75</v>
      </c>
      <c r="C16" s="43" t="s">
        <v>64</v>
      </c>
      <c r="D16" s="44">
        <f>IF(A16&lt;200,A16,A14)</f>
        <v>100</v>
      </c>
      <c r="E16" s="45">
        <f>IF(D16&lt;=D15,E15,IF(D16&gt;D15,E15+((D16-D15)/'berekening Wort'!$H$56)))</f>
        <v>203</v>
      </c>
      <c r="F16" s="629"/>
      <c r="H16" s="73"/>
      <c r="I16" s="11"/>
      <c r="J16" s="11"/>
      <c r="K16" s="11"/>
      <c r="L16" s="11"/>
      <c r="M16" s="11"/>
      <c r="N16" s="11"/>
      <c r="O16" s="11"/>
      <c r="P16" s="67">
        <f t="shared" si="0"/>
        <v>75</v>
      </c>
      <c r="Q16" s="3">
        <f t="shared" si="1"/>
        <v>1090</v>
      </c>
      <c r="R16" s="11"/>
      <c r="S16" s="68">
        <f>-0.000000002593425*P16^4+0.0000008603218391*P16^3-0.0001094739572688*P16^2+0.0066853898387198*P16+0.0011542244995715</f>
        <v>0.16765814074624411</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27"/>
      <c r="B17" s="628"/>
      <c r="C17" s="43" t="s">
        <v>65</v>
      </c>
      <c r="D17" s="46">
        <f>IF(A16="spoelen",A14-B16*'berekening Wort'!$I$56,IF(A16="koelen",A14-B16*'berekening Wort'!$H$58,A16))</f>
        <v>100</v>
      </c>
      <c r="E17" s="45">
        <f>E16+B16</f>
        <v>278</v>
      </c>
      <c r="F17" s="629"/>
      <c r="H17" s="74"/>
      <c r="P17" s="67">
        <f t="shared" si="0"/>
        <v>75</v>
      </c>
      <c r="Q17" s="3">
        <f t="shared" si="1"/>
        <v>1100</v>
      </c>
      <c r="S17" s="68">
        <f>-0.0000000023310352*P17^4+0.0000007796431484*P17^3-0.00009982874040812*P17^2+0.0061134405825549*P17+0.0009272724785276</f>
        <v>0.15305519398072007</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30" t="str">
        <f>'berekening Wort'!K52</f>
        <v>koelen</v>
      </c>
      <c r="B18" s="631">
        <f>(A16-20)/'berekening Wort'!H58</f>
        <v>40</v>
      </c>
      <c r="C18" s="43" t="s">
        <v>64</v>
      </c>
      <c r="D18" s="44">
        <f>IF(A18&lt;200,A18,A16)</f>
        <v>100</v>
      </c>
      <c r="E18" s="45">
        <f>IF(D18&lt;=D17,E17,IF(D18&gt;D17,E17+((D18-D17)/'berekening Wort'!$H$56)))</f>
        <v>278</v>
      </c>
      <c r="F18" s="632"/>
      <c r="H18" s="75"/>
      <c r="I18" s="76"/>
      <c r="J18" s="76"/>
      <c r="K18" s="76"/>
      <c r="L18" s="77"/>
      <c r="M18" s="77"/>
      <c r="N18" s="77"/>
      <c r="O18" s="76"/>
      <c r="P18" s="78">
        <f t="shared" si="0"/>
        <v>75</v>
      </c>
      <c r="Q18" s="79">
        <f t="shared" si="1"/>
        <v>1110</v>
      </c>
      <c r="R18" s="76"/>
      <c r="S18" s="80">
        <f>-0.0000000021340833*P18^4+0.0000007072585172*P18^3-0.0000902185753079*P18^2+0.0055434779001008*P18+0.0011692111538</f>
        <v>0.14030152508411006</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30"/>
      <c r="B19" s="631"/>
      <c r="C19" s="81" t="s">
        <v>65</v>
      </c>
      <c r="D19" s="161">
        <f>IF(A18="spoelen",A16-B18*'berekening Wort'!$I$56,IF(A18="koelen",A16-B18*'berekening Wort'!$H$58,A18))</f>
        <v>20</v>
      </c>
      <c r="E19" s="162">
        <f>E18+B18</f>
        <v>318</v>
      </c>
      <c r="F19" s="632"/>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0.23357734823952001</v>
      </c>
      <c r="J20" s="61"/>
      <c r="K20" s="62">
        <f>'berekening Wort'!$D$28</f>
        <v>4.8</v>
      </c>
      <c r="L20" s="61">
        <f>(10/'berekening Wort'!$D$8)*'berekening Wort'!$A$28</f>
        <v>5</v>
      </c>
      <c r="M20" s="61">
        <f>'berekening Wort'!$E$28</f>
        <v>1</v>
      </c>
      <c r="N20" s="63">
        <f>VLOOKUP($Q$7,Q20:S28,3)</f>
        <v>9.7323895099800002E-3</v>
      </c>
      <c r="O20" s="61"/>
      <c r="P20" s="59">
        <f t="shared" ref="P20:P28" si="3">M$20</f>
        <v>1</v>
      </c>
      <c r="Q20" s="61">
        <v>1030</v>
      </c>
      <c r="R20" s="61"/>
      <c r="S20" s="64">
        <f>-0.000000004160625*P20^4+0.000001400652572*P20^3-0.000181473605536*P20^2+0.011274897128777*P20+0.003458016386372</f>
        <v>1.455283640156E-2</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1</v>
      </c>
      <c r="Q21" s="3">
        <f t="shared" ref="Q21:Q28" si="4">Q20+10</f>
        <v>1040</v>
      </c>
      <c r="R21" s="3"/>
      <c r="S21" s="68">
        <f>-0.00000000404429*P21^4+0.000001339772834*P21^3-0.000170725602247*P21^2+0.010460178147039*P21+0.001506400549522</f>
        <v>1.1797188822858001E-2</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1</v>
      </c>
      <c r="Q22" s="3">
        <f t="shared" si="4"/>
        <v>1050</v>
      </c>
      <c r="R22" s="3"/>
      <c r="S22" s="68">
        <f>-0.00000000370590974*P22^4+0.00000122828391004*P22^3-0.0001563391365506*P22^2+0.00956255390260585*P22+0.00157137</f>
        <v>1.0978809344055552E-2</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1</v>
      </c>
      <c r="Q23" s="3">
        <f t="shared" si="4"/>
        <v>1060</v>
      </c>
      <c r="R23" s="3"/>
      <c r="S23" s="68">
        <f>-0.0000000033976765*P23^4+0.0000011250152533*P23^3-0.0001431864396158*P23^2+0.008759416332019*P23+0.001115038</f>
        <v>9.7323895099800002E-3</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1</v>
      </c>
      <c r="Q24" s="3">
        <f t="shared" si="4"/>
        <v>1070</v>
      </c>
      <c r="R24" s="3"/>
      <c r="S24" s="68">
        <f>-0.0000000030945005*P24^4+0.0000010249690135*P24^3-0.0001305179756368*P24^2+0.0079878274782061*P24+0.0012641886374256</f>
        <v>9.1225200145078986E-3</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1</v>
      </c>
      <c r="Q25" s="3">
        <f t="shared" si="4"/>
        <v>1080</v>
      </c>
      <c r="R25" s="3"/>
      <c r="S25" s="68">
        <f>-0.0000000027738693*P25^4+0.0000009246851463*P25^3-0.0001185031570336*P25^2+0.0072869681745214*P25+0.0011774964971938</f>
        <v>8.3468834259585994E-3</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68</v>
      </c>
      <c r="BH25" s="29"/>
      <c r="BI25" s="29"/>
      <c r="BJ25" s="29"/>
      <c r="BK25" s="29"/>
      <c r="BL25" s="29"/>
    </row>
    <row r="26" spans="1:64" ht="16.5" x14ac:dyDescent="0.35">
      <c r="H26" s="73"/>
      <c r="I26" s="11"/>
      <c r="J26" s="11"/>
      <c r="K26" s="11"/>
      <c r="L26" s="11"/>
      <c r="M26" s="11"/>
      <c r="N26" s="11"/>
      <c r="O26" s="11"/>
      <c r="P26" s="67">
        <f t="shared" si="3"/>
        <v>1</v>
      </c>
      <c r="Q26" s="3">
        <f t="shared" si="4"/>
        <v>1090</v>
      </c>
      <c r="R26" s="11"/>
      <c r="S26" s="68">
        <f>-0.000000002593425*P26^4+0.0000008603218391*P26^3-0.0001094739572688*P26^2+0.0066853898387198*P26+0.0011542244995715</f>
        <v>7.7309981094366006E-3</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1</v>
      </c>
      <c r="Q27" s="3">
        <f t="shared" si="4"/>
        <v>1100</v>
      </c>
      <c r="S27" s="68">
        <f>-0.0000000023310352*P27^4+0.0000007796431484*P27^3-0.00009982874040812*P27^2+0.0061134405825549*P27+0.0009272724785276</f>
        <v>6.9416616327875802E-3</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78</v>
      </c>
    </row>
    <row r="28" spans="1:64" ht="16.5" x14ac:dyDescent="0.35">
      <c r="H28" s="75"/>
      <c r="I28" s="76"/>
      <c r="J28" s="76"/>
      <c r="K28" s="76"/>
      <c r="L28" s="77"/>
      <c r="M28" s="77"/>
      <c r="N28" s="77"/>
      <c r="O28" s="76"/>
      <c r="P28" s="78">
        <f t="shared" si="3"/>
        <v>1</v>
      </c>
      <c r="Q28" s="79">
        <f t="shared" si="4"/>
        <v>1110</v>
      </c>
      <c r="R28" s="76"/>
      <c r="S28" s="80">
        <f>-0.0000000021340833*P28^4+0.0000007072585172*P28^3-0.0000902185753079*P28^2+0.0055434779001008*P28+0.0011692111538</f>
        <v>6.6231756030268006E-3</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79</v>
      </c>
      <c r="BI29" s="82" t="s">
        <v>80</v>
      </c>
    </row>
    <row r="30" spans="1:64" ht="16.5" x14ac:dyDescent="0.35">
      <c r="H30" s="59">
        <v>3</v>
      </c>
      <c r="I30" s="60">
        <f>L30*K30*N30</f>
        <v>0</v>
      </c>
      <c r="J30" s="61"/>
      <c r="K30" s="62">
        <f>'berekening Wort'!$D$29</f>
        <v>0</v>
      </c>
      <c r="L30" s="61">
        <f>(10/'berekening Wort'!$D$8)*'berekening Wort'!$A$29</f>
        <v>0</v>
      </c>
      <c r="M30" s="61">
        <f>'berekening Wort'!$E$29</f>
        <v>0</v>
      </c>
      <c r="N30" s="63">
        <f>VLOOKUP($Q$7,Q30:S38,3)</f>
        <v>1.1150380000000001E-3</v>
      </c>
      <c r="O30" s="61"/>
      <c r="P30" s="59">
        <f t="shared" ref="P30:P38" si="5">M$30</f>
        <v>0</v>
      </c>
      <c r="Q30" s="61">
        <v>1030</v>
      </c>
      <c r="R30" s="61"/>
      <c r="S30" s="64">
        <f>-0.000000004160625*P30^4+0.000001400652572*P30^3-0.000181473605536*P30^2+0.011274897128777*P30+0.003458016386372</f>
        <v>3.4580163863719999E-3</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0</v>
      </c>
      <c r="Q31" s="3">
        <f t="shared" ref="Q31:Q38" si="6">Q30+10</f>
        <v>1040</v>
      </c>
      <c r="R31" s="3"/>
      <c r="S31" s="68">
        <f>-0.00000000404429*P31^4+0.000001339772834*P31^3-0.000170725602247*P31^2+0.010460178147039*P31+0.001506400549522</f>
        <v>1.5064005495219999E-3</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0</v>
      </c>
      <c r="Q32" s="3">
        <f t="shared" si="6"/>
        <v>1050</v>
      </c>
      <c r="R32" s="3"/>
      <c r="S32" s="68">
        <f>-0.00000000370590974*P32^4+0.00000122828391004*P32^3-0.0001563391365506*P32^2+0.00956255390260585*P32+0.00157137</f>
        <v>1.5713700000000001E-3</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0</v>
      </c>
      <c r="Q33" s="3">
        <f t="shared" si="6"/>
        <v>1060</v>
      </c>
      <c r="R33" s="3"/>
      <c r="S33" s="68">
        <f>-0.0000000033976765*P33^4+0.0000011250152533*P33^3-0.0001431864396158*P33^2+0.008759416332019*P33+0.001115038</f>
        <v>1.1150380000000001E-3</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0</v>
      </c>
      <c r="Q34" s="3">
        <f t="shared" si="6"/>
        <v>1070</v>
      </c>
      <c r="R34" s="3"/>
      <c r="S34" s="68">
        <f>-0.0000000030945005*P34^4+0.0000010249690135*P34^3-0.0001305179756368*P34^2+0.0079878274782061*P34+0.0012641886374256</f>
        <v>1.2641886374256E-3</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0</v>
      </c>
      <c r="Q35" s="3">
        <f t="shared" si="6"/>
        <v>1080</v>
      </c>
      <c r="R35" s="3"/>
      <c r="S35" s="68">
        <f>-0.0000000027738693*P35^4+0.0000009246851463*P35^3-0.0001185031570336*P35^2+0.0072869681745214*P35+0.0011774964971938</f>
        <v>1.1774964971937999E-3</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0</v>
      </c>
      <c r="Q36" s="3">
        <f t="shared" si="6"/>
        <v>1090</v>
      </c>
      <c r="R36" s="11"/>
      <c r="S36" s="68">
        <f>-0.000000002593425*P36^4+0.0000008603218391*P36^3-0.0001094739572688*P36^2+0.0066853898387198*P36+0.0011542244995715</f>
        <v>1.1542244995715E-3</v>
      </c>
      <c r="T36" s="42"/>
      <c r="U36" s="42"/>
      <c r="V36" s="42"/>
      <c r="W36" s="42"/>
      <c r="X36" s="42"/>
      <c r="Y36" s="42"/>
      <c r="AG36" s="2" t="s">
        <v>81</v>
      </c>
      <c r="BF36" s="1">
        <f t="shared" si="7"/>
        <v>26</v>
      </c>
      <c r="BG36" s="1">
        <v>95</v>
      </c>
      <c r="BH36" s="1">
        <v>6.3</v>
      </c>
      <c r="BI36" s="1">
        <v>3.6</v>
      </c>
    </row>
    <row r="37" spans="8:61" ht="16.5" x14ac:dyDescent="0.35">
      <c r="H37" s="74"/>
      <c r="P37" s="67">
        <f t="shared" si="5"/>
        <v>0</v>
      </c>
      <c r="Q37" s="3">
        <f t="shared" si="6"/>
        <v>1100</v>
      </c>
      <c r="S37" s="68">
        <f>-0.0000000023310352*P37^4+0.0000007796431484*P37^3-0.00009982874040812*P37^2+0.0061134405825549*P37+0.0009272724785276</f>
        <v>9.2727247852759996E-4</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0</v>
      </c>
      <c r="Q38" s="79">
        <f t="shared" si="6"/>
        <v>1110</v>
      </c>
      <c r="R38" s="76"/>
      <c r="S38" s="80">
        <f>-0.0000000021340833*P38^4+0.0000007072585172*P38^3-0.0000902185753079*P38^2+0.0055434779001008*P38+0.0011692111538</f>
        <v>1.1692111537999999E-3</v>
      </c>
      <c r="T38" s="42"/>
      <c r="U38" s="42"/>
      <c r="V38" s="42"/>
      <c r="W38" s="42"/>
      <c r="X38" s="42"/>
      <c r="Y38" s="42"/>
      <c r="AG38" s="2" t="s">
        <v>82</v>
      </c>
      <c r="AI38" s="2" t="s">
        <v>83</v>
      </c>
      <c r="AK38" s="2" t="s">
        <v>84</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v>
      </c>
      <c r="J40" s="61"/>
      <c r="K40" s="62">
        <f>'berekening Wort'!$D$30</f>
        <v>0</v>
      </c>
      <c r="L40" s="61">
        <f>(10/'berekening Wort'!$D$8)*'berekening Wort'!$A$30</f>
        <v>0</v>
      </c>
      <c r="M40" s="61">
        <f>'berekening Wort'!$E$30</f>
        <v>0</v>
      </c>
      <c r="N40" s="63">
        <f>VLOOKUP($Q$7,Q40:S48,3)</f>
        <v>1.1150380000000001E-3</v>
      </c>
      <c r="O40" s="61"/>
      <c r="P40" s="59">
        <f t="shared" ref="P40:P48" si="8">M$40</f>
        <v>0</v>
      </c>
      <c r="Q40" s="61">
        <v>1030</v>
      </c>
      <c r="R40" s="61"/>
      <c r="S40" s="64">
        <f>-0.000000004160625*P40^4+0.000001400652572*P40^3-0.000181473605536*P40^2+0.011274897128777*P40+0.003458016386372</f>
        <v>3.4580163863719999E-3</v>
      </c>
      <c r="T40" s="42"/>
      <c r="U40" s="42"/>
      <c r="V40" s="42"/>
      <c r="W40" s="42"/>
      <c r="X40" s="42"/>
      <c r="Y40" s="42"/>
      <c r="AG40" s="3">
        <v>1030</v>
      </c>
      <c r="AI40" s="3" t="s">
        <v>85</v>
      </c>
      <c r="BF40" s="1">
        <f t="shared" si="7"/>
        <v>76</v>
      </c>
      <c r="BG40" s="1">
        <v>45</v>
      </c>
      <c r="BH40" s="1">
        <v>10.199999999999999</v>
      </c>
      <c r="BI40" s="1">
        <v>5.2</v>
      </c>
    </row>
    <row r="41" spans="8:61" ht="16.5" x14ac:dyDescent="0.35">
      <c r="H41" s="67"/>
      <c r="I41" s="3"/>
      <c r="J41" s="3"/>
      <c r="K41" s="3"/>
      <c r="L41" s="3"/>
      <c r="M41" s="3"/>
      <c r="N41" s="3"/>
      <c r="O41" s="3"/>
      <c r="P41" s="67">
        <f t="shared" si="8"/>
        <v>0</v>
      </c>
      <c r="Q41" s="3">
        <f t="shared" ref="Q41:Q48" si="9">Q40+10</f>
        <v>1040</v>
      </c>
      <c r="R41" s="3"/>
      <c r="S41" s="68">
        <f>-0.00000000404429*P41^4+0.000001339772834*P41^3-0.000170725602247*P41^2+0.010460178147039*P41+0.001506400549522</f>
        <v>1.5064005495219999E-3</v>
      </c>
      <c r="T41" s="42"/>
      <c r="U41" s="42"/>
      <c r="V41" s="42"/>
      <c r="W41" s="42"/>
      <c r="X41" s="42"/>
      <c r="Y41" s="42"/>
      <c r="AG41" s="3">
        <v>1040</v>
      </c>
      <c r="AI41" s="3" t="s">
        <v>86</v>
      </c>
      <c r="BF41" s="1">
        <f t="shared" si="7"/>
        <v>91</v>
      </c>
      <c r="BG41" s="1">
        <v>30</v>
      </c>
      <c r="BH41" s="1">
        <v>10.4</v>
      </c>
      <c r="BI41" s="1">
        <v>5.4</v>
      </c>
    </row>
    <row r="42" spans="8:61" ht="16.5" x14ac:dyDescent="0.35">
      <c r="H42" s="67"/>
      <c r="I42" s="3"/>
      <c r="J42" s="3"/>
      <c r="K42" s="3"/>
      <c r="L42" s="3"/>
      <c r="M42" s="3"/>
      <c r="N42" s="3"/>
      <c r="O42" s="3"/>
      <c r="P42" s="67">
        <f t="shared" si="8"/>
        <v>0</v>
      </c>
      <c r="Q42" s="3">
        <f t="shared" si="9"/>
        <v>1050</v>
      </c>
      <c r="R42" s="3"/>
      <c r="S42" s="68">
        <f>-0.00000000370590974*P42^4+0.00000122828391004*P42^3-0.0001563391365506*P42^2+0.00956255390260585*P42+0.00157137</f>
        <v>1.5713700000000001E-3</v>
      </c>
      <c r="T42" s="42"/>
      <c r="U42" s="42"/>
      <c r="V42" s="42"/>
      <c r="W42" s="42"/>
      <c r="X42" s="42"/>
      <c r="Y42" s="42"/>
      <c r="AG42" s="3">
        <v>1050</v>
      </c>
      <c r="AI42" s="3" t="s">
        <v>87</v>
      </c>
      <c r="BF42" s="1">
        <f t="shared" si="7"/>
        <v>106</v>
      </c>
      <c r="BG42" s="1">
        <v>15</v>
      </c>
      <c r="BH42" s="1">
        <v>10.5</v>
      </c>
      <c r="BI42" s="1">
        <v>5.5</v>
      </c>
    </row>
    <row r="43" spans="8:61" ht="16.5" x14ac:dyDescent="0.35">
      <c r="H43" s="67"/>
      <c r="I43" s="72"/>
      <c r="J43" s="3"/>
      <c r="K43" s="3"/>
      <c r="L43" s="3"/>
      <c r="M43" s="3"/>
      <c r="N43" s="3"/>
      <c r="O43" s="3"/>
      <c r="P43" s="67">
        <f t="shared" si="8"/>
        <v>0</v>
      </c>
      <c r="Q43" s="3">
        <f t="shared" si="9"/>
        <v>1060</v>
      </c>
      <c r="R43" s="3"/>
      <c r="S43" s="68">
        <f>-0.0000000033976765*P43^4+0.0000011250152533*P43^3-0.0001431864396158*P43^2+0.008759416332019*P43+0.001115038</f>
        <v>1.1150380000000001E-3</v>
      </c>
      <c r="T43" s="42"/>
      <c r="U43" s="42"/>
      <c r="V43" s="42"/>
      <c r="W43" s="42"/>
      <c r="X43" s="42"/>
      <c r="Y43" s="42"/>
      <c r="AG43" s="3">
        <v>1060</v>
      </c>
      <c r="AI43" s="3" t="s">
        <v>88</v>
      </c>
      <c r="BF43" s="1">
        <f t="shared" si="7"/>
        <v>120</v>
      </c>
      <c r="BG43" s="1">
        <v>1</v>
      </c>
      <c r="BH43" s="1">
        <v>10.6</v>
      </c>
      <c r="BI43" s="1">
        <v>5.5</v>
      </c>
    </row>
    <row r="44" spans="8:61" ht="16.5" x14ac:dyDescent="0.35">
      <c r="H44" s="67"/>
      <c r="I44" s="3"/>
      <c r="J44" s="3"/>
      <c r="K44" s="3"/>
      <c r="L44" s="3"/>
      <c r="M44" s="3"/>
      <c r="N44" s="3"/>
      <c r="O44" s="3"/>
      <c r="P44" s="67">
        <f t="shared" si="8"/>
        <v>0</v>
      </c>
      <c r="Q44" s="3">
        <f t="shared" si="9"/>
        <v>1070</v>
      </c>
      <c r="R44" s="3"/>
      <c r="S44" s="68">
        <f>-0.0000000030945005*P44^4+0.0000010249690135*P44^3-0.0001305179756368*P44^2+0.0079878274782061*P44+0.0012641886374256</f>
        <v>1.2641886374256E-3</v>
      </c>
      <c r="T44" s="42"/>
      <c r="U44" s="42"/>
      <c r="V44" s="42"/>
      <c r="W44" s="42"/>
      <c r="X44" s="42"/>
      <c r="Y44" s="42"/>
      <c r="AG44" s="3">
        <v>1070</v>
      </c>
      <c r="AI44" s="3" t="s">
        <v>89</v>
      </c>
    </row>
    <row r="45" spans="8:61" ht="16.5" x14ac:dyDescent="0.35">
      <c r="H45" s="67"/>
      <c r="I45" s="3"/>
      <c r="J45" s="39"/>
      <c r="K45" s="3"/>
      <c r="L45" s="3"/>
      <c r="M45" s="3"/>
      <c r="N45" s="3"/>
      <c r="O45" s="3"/>
      <c r="P45" s="67">
        <f t="shared" si="8"/>
        <v>0</v>
      </c>
      <c r="Q45" s="3">
        <f t="shared" si="9"/>
        <v>1080</v>
      </c>
      <c r="R45" s="3"/>
      <c r="S45" s="68">
        <f>-0.0000000027738693*P45^4+0.0000009246851463*P45^3-0.0001185031570336*P45^2+0.0072869681745214*P45+0.0011774964971938</f>
        <v>1.1774964971937999E-3</v>
      </c>
      <c r="T45" s="42"/>
      <c r="U45" s="42"/>
      <c r="V45" s="42"/>
      <c r="W45" s="42"/>
      <c r="X45" s="42"/>
      <c r="Y45" s="42"/>
      <c r="AG45" s="3">
        <v>1080</v>
      </c>
      <c r="AI45" s="3" t="s">
        <v>90</v>
      </c>
    </row>
    <row r="46" spans="8:61" ht="16.5" x14ac:dyDescent="0.35">
      <c r="H46" s="73"/>
      <c r="I46" s="11"/>
      <c r="J46" s="11"/>
      <c r="K46" s="11"/>
      <c r="L46" s="11"/>
      <c r="M46" s="11"/>
      <c r="N46" s="11"/>
      <c r="O46" s="11"/>
      <c r="P46" s="67">
        <f t="shared" si="8"/>
        <v>0</v>
      </c>
      <c r="Q46" s="3">
        <f t="shared" si="9"/>
        <v>1090</v>
      </c>
      <c r="R46" s="11"/>
      <c r="S46" s="68">
        <f>-0.000000002593425*P46^4+0.0000008603218391*P46^3-0.0001094739572688*P46^2+0.0066853898387198*P46+0.0011542244995715</f>
        <v>1.1542244995715E-3</v>
      </c>
      <c r="T46" s="42"/>
      <c r="U46" s="42"/>
      <c r="V46" s="42"/>
      <c r="W46" s="42"/>
      <c r="X46" s="42"/>
      <c r="Y46" s="42"/>
      <c r="AG46" s="3">
        <v>1090</v>
      </c>
      <c r="AI46" s="3" t="s">
        <v>91</v>
      </c>
    </row>
    <row r="47" spans="8:61" ht="16.5" x14ac:dyDescent="0.35">
      <c r="H47" s="74"/>
      <c r="P47" s="67">
        <f t="shared" si="8"/>
        <v>0</v>
      </c>
      <c r="Q47" s="3">
        <f t="shared" si="9"/>
        <v>1100</v>
      </c>
      <c r="S47" s="68">
        <f>-0.0000000023310352*P47^4+0.0000007796431484*P47^3-0.00009982874040812*P47^2+0.0061134405825549*P47+0.0009272724785276</f>
        <v>9.2727247852759996E-4</v>
      </c>
      <c r="T47" s="42"/>
      <c r="U47" s="42"/>
      <c r="V47" s="42"/>
      <c r="W47" s="42"/>
      <c r="X47" s="42"/>
      <c r="Y47" s="42"/>
      <c r="AG47" s="40">
        <v>1100</v>
      </c>
      <c r="AI47" s="39" t="s">
        <v>92</v>
      </c>
    </row>
    <row r="48" spans="8:61" ht="16.5" x14ac:dyDescent="0.35">
      <c r="H48" s="75"/>
      <c r="I48" s="76"/>
      <c r="J48" s="76"/>
      <c r="K48" s="76"/>
      <c r="L48" s="77"/>
      <c r="M48" s="77"/>
      <c r="N48" s="77"/>
      <c r="O48" s="76"/>
      <c r="P48" s="78">
        <f t="shared" si="8"/>
        <v>0</v>
      </c>
      <c r="Q48" s="79">
        <f t="shared" si="9"/>
        <v>1110</v>
      </c>
      <c r="R48" s="76"/>
      <c r="S48" s="80">
        <f>-0.0000000021340833*P48^4+0.0000007072585172*P48^3-0.0000902185753079*P48^2+0.0055434779001008*P48+0.0011692111538</f>
        <v>1.1692111537999999E-3</v>
      </c>
      <c r="T48" s="42"/>
      <c r="U48" s="42"/>
      <c r="V48" s="42"/>
      <c r="W48" s="42"/>
      <c r="X48" s="42"/>
      <c r="Y48" s="42"/>
      <c r="AG48" s="3">
        <v>1110</v>
      </c>
      <c r="AI48" s="3" t="s">
        <v>93</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1.1150380000000001E-3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1.1150380000000001E-3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1.1150380000000001E-3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1.1150380000000001E-3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6:A17"/>
    <mergeCell ref="B16:B17"/>
    <mergeCell ref="F16:F17"/>
    <mergeCell ref="A18:A19"/>
    <mergeCell ref="B18:B19"/>
    <mergeCell ref="F18:F19"/>
    <mergeCell ref="A12:A13"/>
    <mergeCell ref="B12:B13"/>
    <mergeCell ref="F12:F13"/>
    <mergeCell ref="A14:A15"/>
    <mergeCell ref="B14:B15"/>
    <mergeCell ref="F14:F15"/>
    <mergeCell ref="A8:A9"/>
    <mergeCell ref="B8:B9"/>
    <mergeCell ref="F8:F9"/>
    <mergeCell ref="A10:A11"/>
    <mergeCell ref="B10:B11"/>
    <mergeCell ref="F10:F11"/>
    <mergeCell ref="A4:A5"/>
    <mergeCell ref="B4:B5"/>
    <mergeCell ref="F4:F5"/>
    <mergeCell ref="A6:A7"/>
    <mergeCell ref="B6:B7"/>
    <mergeCell ref="F6:F7"/>
    <mergeCell ref="A1:F1"/>
    <mergeCell ref="A2:A3"/>
    <mergeCell ref="B2:B3"/>
    <mergeCell ref="C2:C3"/>
    <mergeCell ref="D2:D3"/>
    <mergeCell ref="E2:E3"/>
    <mergeCell ref="F2:F3"/>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419</v>
      </c>
      <c r="E1" s="121" t="s">
        <v>420</v>
      </c>
    </row>
    <row r="2" spans="1:5" x14ac:dyDescent="0.3">
      <c r="A2" s="121" t="s">
        <v>421</v>
      </c>
      <c r="D2" s="121">
        <v>0</v>
      </c>
      <c r="E2" s="121">
        <f>LOOKUP($D2,tabellen!$E$4:$E$15,tabellen!$D$4:$D$15)</f>
        <v>44</v>
      </c>
    </row>
    <row r="3" spans="1:5" x14ac:dyDescent="0.3">
      <c r="A3" s="132" t="s">
        <v>422</v>
      </c>
      <c r="B3" s="132">
        <f>IF('berekening Wort'!D3&lt;6,1,IF('berekening Wort'!D3&gt;6,2))</f>
        <v>2</v>
      </c>
      <c r="D3" s="121">
        <v>1</v>
      </c>
      <c r="E3" s="121">
        <f>LOOKUP($D3,tabellen!$E$4:$E$15,tabellen!$D$4:$D$15)</f>
        <v>44</v>
      </c>
    </row>
    <row r="4" spans="1:5" x14ac:dyDescent="0.3">
      <c r="A4" s="133" t="s">
        <v>423</v>
      </c>
      <c r="B4" s="132">
        <f>IF('berekening Wort'!D4&lt;30,10,IF('berekening Wort'!D4&gt;30,20))</f>
        <v>10</v>
      </c>
      <c r="D4" s="121">
        <v>2</v>
      </c>
      <c r="E4" s="121">
        <f>LOOKUP($D4,tabellen!$E$4:$E$15,tabellen!$D$4:$D$15)</f>
        <v>44</v>
      </c>
    </row>
    <row r="5" spans="1:5" x14ac:dyDescent="0.3">
      <c r="A5" s="132"/>
      <c r="B5" s="132">
        <f>SUM(B3:B4)</f>
        <v>12</v>
      </c>
      <c r="D5" s="121">
        <v>3</v>
      </c>
      <c r="E5" s="121">
        <f>LOOKUP($D5,tabellen!$E$4:$E$15,tabellen!$D$4:$D$15)</f>
        <v>44</v>
      </c>
    </row>
    <row r="6" spans="1:5" x14ac:dyDescent="0.3">
      <c r="A6" s="121" t="s">
        <v>424</v>
      </c>
      <c r="B6" s="121" t="str">
        <f>IF(B5=11,"A",IF(B5=12,"C",IF(B5=21,"B",IF(B5=22,"D"))))</f>
        <v>C</v>
      </c>
      <c r="D6" s="121">
        <v>4</v>
      </c>
      <c r="E6" s="121">
        <f>LOOKUP($D6,tabellen!$E$4:$E$15,tabellen!$D$4:$D$15)</f>
        <v>44</v>
      </c>
    </row>
    <row r="7" spans="1:5" x14ac:dyDescent="0.3">
      <c r="D7" s="121">
        <v>5</v>
      </c>
      <c r="E7" s="121">
        <f>LOOKUP($D7,tabellen!$E$4:$E$15,tabellen!$D$4:$D$15)</f>
        <v>44</v>
      </c>
    </row>
    <row r="8" spans="1:5" x14ac:dyDescent="0.3">
      <c r="D8" s="121">
        <v>6</v>
      </c>
      <c r="E8" s="121">
        <f>LOOKUP($D8,tabellen!$E$4:$E$15,tabellen!$D$4:$D$15)</f>
        <v>44</v>
      </c>
    </row>
    <row r="9" spans="1:5" x14ac:dyDescent="0.3">
      <c r="D9" s="121">
        <v>7</v>
      </c>
      <c r="E9" s="121">
        <f>LOOKUP($D9,tabellen!$E$4:$E$15,tabellen!$D$4:$D$15)</f>
        <v>44</v>
      </c>
    </row>
    <row r="10" spans="1:5" x14ac:dyDescent="0.3">
      <c r="D10" s="121">
        <v>8</v>
      </c>
      <c r="E10" s="121">
        <f>LOOKUP($D10,tabellen!$E$4:$E$15,tabellen!$D$4:$D$15)</f>
        <v>44</v>
      </c>
    </row>
    <row r="11" spans="1:5" x14ac:dyDescent="0.3">
      <c r="D11" s="121">
        <v>9</v>
      </c>
      <c r="E11" s="121">
        <f>LOOKUP($D11,tabellen!$E$4:$E$15,tabellen!$D$4:$D$15)</f>
        <v>44</v>
      </c>
    </row>
    <row r="12" spans="1:5" x14ac:dyDescent="0.3">
      <c r="D12" s="121">
        <v>10</v>
      </c>
      <c r="E12" s="121">
        <f>LOOKUP($D12,tabellen!$E$4:$E$15,tabellen!$D$4:$D$15)</f>
        <v>44</v>
      </c>
    </row>
    <row r="13" spans="1:5" x14ac:dyDescent="0.3">
      <c r="D13" s="121">
        <v>11</v>
      </c>
      <c r="E13" s="121">
        <f>LOOKUP($D13,tabellen!$E$4:$E$15,tabellen!$D$4:$D$15)</f>
        <v>44</v>
      </c>
    </row>
    <row r="14" spans="1:5" x14ac:dyDescent="0.3">
      <c r="D14" s="121">
        <v>12</v>
      </c>
      <c r="E14" s="121">
        <f>LOOKUP($D14,tabellen!$E$4:$E$15,tabellen!$D$4:$D$15)</f>
        <v>44</v>
      </c>
    </row>
    <row r="15" spans="1:5" x14ac:dyDescent="0.3">
      <c r="D15" s="121">
        <v>13</v>
      </c>
      <c r="E15" s="121">
        <f>LOOKUP($D15,tabellen!$E$4:$E$15,tabellen!$D$4:$D$15)</f>
        <v>44</v>
      </c>
    </row>
    <row r="16" spans="1:5" x14ac:dyDescent="0.3">
      <c r="D16" s="121">
        <v>14</v>
      </c>
      <c r="E16" s="121">
        <f>LOOKUP($D16,tabellen!$E$4:$E$15,tabellen!$D$4:$D$15)</f>
        <v>44</v>
      </c>
    </row>
    <row r="17" spans="4:5" x14ac:dyDescent="0.3">
      <c r="D17" s="121">
        <v>15</v>
      </c>
      <c r="E17" s="121">
        <f>LOOKUP($D17,tabellen!$E$4:$E$15,tabellen!$D$4:$D$15)</f>
        <v>44</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50</v>
      </c>
    </row>
    <row r="27" spans="4:5" x14ac:dyDescent="0.3">
      <c r="D27" s="121">
        <v>25</v>
      </c>
      <c r="E27" s="121">
        <f>LOOKUP($D27,tabellen!$E$4:$E$15,tabellen!$D$4:$D$15)</f>
        <v>50</v>
      </c>
    </row>
    <row r="28" spans="4:5" x14ac:dyDescent="0.3">
      <c r="D28" s="121">
        <v>26</v>
      </c>
      <c r="E28" s="121">
        <f>LOOKUP($D28,tabellen!$E$4:$E$15,tabellen!$D$4:$D$15)</f>
        <v>50</v>
      </c>
    </row>
    <row r="29" spans="4:5" x14ac:dyDescent="0.3">
      <c r="D29" s="121">
        <v>27</v>
      </c>
      <c r="E29" s="121">
        <f>LOOKUP($D29,tabellen!$E$4:$E$15,tabellen!$D$4:$D$15)</f>
        <v>50</v>
      </c>
    </row>
    <row r="30" spans="4:5" x14ac:dyDescent="0.3">
      <c r="D30" s="121">
        <v>28</v>
      </c>
      <c r="E30" s="121">
        <f>LOOKUP($D30,tabellen!$E$4:$E$15,tabellen!$D$4:$D$15)</f>
        <v>50</v>
      </c>
    </row>
    <row r="31" spans="4:5" x14ac:dyDescent="0.3">
      <c r="D31" s="121">
        <v>29</v>
      </c>
      <c r="E31" s="121">
        <f>LOOKUP($D31,tabellen!$E$4:$E$15,tabellen!$D$4:$D$15)</f>
        <v>50</v>
      </c>
    </row>
    <row r="32" spans="4:5" x14ac:dyDescent="0.3">
      <c r="D32" s="121">
        <v>30</v>
      </c>
      <c r="E32" s="121">
        <f>LOOKUP($D32,tabellen!$E$4:$E$15,tabellen!$D$4:$D$15)</f>
        <v>50</v>
      </c>
    </row>
    <row r="33" spans="4:5" x14ac:dyDescent="0.3">
      <c r="D33" s="121">
        <v>31</v>
      </c>
      <c r="E33" s="121">
        <f>LOOKUP($D33,tabellen!$E$4:$E$15,tabellen!$D$4:$D$15)</f>
        <v>50</v>
      </c>
    </row>
    <row r="34" spans="4:5" x14ac:dyDescent="0.3">
      <c r="D34" s="121">
        <v>32</v>
      </c>
      <c r="E34" s="121">
        <f>LOOKUP($D34,tabellen!$E$4:$E$15,tabellen!$D$4:$D$15)</f>
        <v>50</v>
      </c>
    </row>
    <row r="35" spans="4:5" x14ac:dyDescent="0.3">
      <c r="D35" s="121">
        <v>33</v>
      </c>
      <c r="E35" s="121">
        <f>LOOKUP($D35,tabellen!$E$4:$E$15,tabellen!$D$4:$D$15)</f>
        <v>50</v>
      </c>
    </row>
    <row r="36" spans="4:5" x14ac:dyDescent="0.3">
      <c r="D36" s="121">
        <v>34</v>
      </c>
      <c r="E36" s="121">
        <f>LOOKUP($D36,tabellen!$E$4:$E$15,tabellen!$D$4:$D$15)</f>
        <v>50</v>
      </c>
    </row>
    <row r="37" spans="4:5" x14ac:dyDescent="0.3">
      <c r="D37" s="121">
        <v>35</v>
      </c>
      <c r="E37" s="121">
        <f>LOOKUP($D37,tabellen!$E$4:$E$15,tabellen!$D$4:$D$15)</f>
        <v>50</v>
      </c>
    </row>
    <row r="38" spans="4:5" x14ac:dyDescent="0.3">
      <c r="D38" s="121">
        <v>36</v>
      </c>
      <c r="E38" s="121">
        <f>LOOKUP($D38,tabellen!$E$4:$E$15,tabellen!$D$4:$D$15)</f>
        <v>50</v>
      </c>
    </row>
    <row r="39" spans="4:5" x14ac:dyDescent="0.3">
      <c r="D39" s="121">
        <v>37</v>
      </c>
      <c r="E39" s="121">
        <f>LOOKUP($D39,tabellen!$E$4:$E$15,tabellen!$D$4:$D$15)</f>
        <v>50</v>
      </c>
    </row>
    <row r="40" spans="4:5" x14ac:dyDescent="0.3">
      <c r="D40" s="121">
        <v>38</v>
      </c>
      <c r="E40" s="121">
        <f>LOOKUP($D40,tabellen!$E$4:$E$15,tabellen!$D$4:$D$15)</f>
        <v>62</v>
      </c>
    </row>
    <row r="41" spans="4:5" x14ac:dyDescent="0.3">
      <c r="D41" s="121">
        <v>39</v>
      </c>
      <c r="E41" s="121">
        <f>LOOKUP($D41,tabellen!$E$4:$E$15,tabellen!$D$4:$D$15)</f>
        <v>62</v>
      </c>
    </row>
    <row r="42" spans="4:5" x14ac:dyDescent="0.3">
      <c r="D42" s="121">
        <v>40</v>
      </c>
      <c r="E42" s="121">
        <f>LOOKUP($D42,tabellen!$E$4:$E$15,tabellen!$D$4:$D$15)</f>
        <v>62</v>
      </c>
    </row>
    <row r="43" spans="4:5" x14ac:dyDescent="0.3">
      <c r="D43" s="121">
        <v>41</v>
      </c>
      <c r="E43" s="121">
        <f>LOOKUP($D43,tabellen!$E$4:$E$15,tabellen!$D$4:$D$15)</f>
        <v>62</v>
      </c>
    </row>
    <row r="44" spans="4:5" x14ac:dyDescent="0.3">
      <c r="D44" s="121">
        <v>42</v>
      </c>
      <c r="E44" s="121">
        <f>LOOKUP($D44,tabellen!$E$4:$E$15,tabellen!$D$4:$D$15)</f>
        <v>62</v>
      </c>
    </row>
    <row r="45" spans="4:5" x14ac:dyDescent="0.3">
      <c r="D45" s="121">
        <v>43</v>
      </c>
      <c r="E45" s="121">
        <f>LOOKUP($D45,tabellen!$E$4:$E$15,tabellen!$D$4:$D$15)</f>
        <v>62</v>
      </c>
    </row>
    <row r="46" spans="4:5" x14ac:dyDescent="0.3">
      <c r="D46" s="121">
        <v>44</v>
      </c>
      <c r="E46" s="121">
        <f>LOOKUP($D46,tabellen!$E$4:$E$15,tabellen!$D$4:$D$15)</f>
        <v>62</v>
      </c>
    </row>
    <row r="47" spans="4:5" x14ac:dyDescent="0.3">
      <c r="D47" s="121">
        <v>45</v>
      </c>
      <c r="E47" s="121">
        <f>LOOKUP($D47,tabellen!$E$4:$E$15,tabellen!$D$4:$D$15)</f>
        <v>62</v>
      </c>
    </row>
    <row r="48" spans="4:5" x14ac:dyDescent="0.3">
      <c r="D48" s="121">
        <v>46</v>
      </c>
      <c r="E48" s="121">
        <f>LOOKUP($D48,tabellen!$E$4:$E$15,tabellen!$D$4:$D$15)</f>
        <v>62</v>
      </c>
    </row>
    <row r="49" spans="4:5" x14ac:dyDescent="0.3">
      <c r="D49" s="121">
        <v>47</v>
      </c>
      <c r="E49" s="121">
        <f>LOOKUP($D49,tabellen!$E$4:$E$15,tabellen!$D$4:$D$15)</f>
        <v>62</v>
      </c>
    </row>
    <row r="50" spans="4:5" x14ac:dyDescent="0.3">
      <c r="D50" s="121">
        <v>48</v>
      </c>
      <c r="E50" s="121">
        <f>LOOKUP($D50,tabellen!$E$4:$E$15,tabellen!$D$4:$D$15)</f>
        <v>62</v>
      </c>
    </row>
    <row r="51" spans="4:5" x14ac:dyDescent="0.3">
      <c r="D51" s="121">
        <v>49</v>
      </c>
      <c r="E51" s="121">
        <f>LOOKUP($D51,tabellen!$E$4:$E$15,tabellen!$D$4:$D$15)</f>
        <v>62</v>
      </c>
    </row>
    <row r="52" spans="4:5" x14ac:dyDescent="0.3">
      <c r="D52" s="121">
        <v>50</v>
      </c>
      <c r="E52" s="121">
        <f>LOOKUP($D52,tabellen!$E$4:$E$15,tabellen!$D$4:$D$15)</f>
        <v>62</v>
      </c>
    </row>
    <row r="53" spans="4:5" x14ac:dyDescent="0.3">
      <c r="D53" s="121">
        <v>51</v>
      </c>
      <c r="E53" s="121">
        <f>LOOKUP($D53,tabellen!$E$4:$E$15,tabellen!$D$4:$D$15)</f>
        <v>62</v>
      </c>
    </row>
    <row r="54" spans="4:5" x14ac:dyDescent="0.3">
      <c r="D54" s="121">
        <v>52</v>
      </c>
      <c r="E54" s="121">
        <f>LOOKUP($D54,tabellen!$E$4:$E$15,tabellen!$D$4:$D$15)</f>
        <v>62</v>
      </c>
    </row>
    <row r="55" spans="4:5" x14ac:dyDescent="0.3">
      <c r="D55" s="121">
        <v>53</v>
      </c>
      <c r="E55" s="121">
        <f>LOOKUP($D55,tabellen!$E$4:$E$15,tabellen!$D$4:$D$15)</f>
        <v>62</v>
      </c>
    </row>
    <row r="56" spans="4:5" x14ac:dyDescent="0.3">
      <c r="D56" s="121">
        <v>54</v>
      </c>
      <c r="E56" s="121">
        <f>LOOKUP($D56,tabellen!$E$4:$E$15,tabellen!$D$4:$D$15)</f>
        <v>62</v>
      </c>
    </row>
    <row r="57" spans="4:5" x14ac:dyDescent="0.3">
      <c r="D57" s="121">
        <v>55</v>
      </c>
      <c r="E57" s="121">
        <f>LOOKUP($D57,tabellen!$E$4:$E$15,tabellen!$D$4:$D$15)</f>
        <v>62</v>
      </c>
    </row>
    <row r="58" spans="4:5" x14ac:dyDescent="0.3">
      <c r="D58" s="121">
        <v>56</v>
      </c>
      <c r="E58" s="121">
        <f>LOOKUP($D58,tabellen!$E$4:$E$15,tabellen!$D$4:$D$15)</f>
        <v>62</v>
      </c>
    </row>
    <row r="59" spans="4:5" x14ac:dyDescent="0.3">
      <c r="D59" s="121">
        <v>57</v>
      </c>
      <c r="E59" s="121">
        <f>LOOKUP($D59,tabellen!$E$4:$E$15,tabellen!$D$4:$D$15)</f>
        <v>62</v>
      </c>
    </row>
    <row r="60" spans="4:5" x14ac:dyDescent="0.3">
      <c r="D60" s="121">
        <v>58</v>
      </c>
      <c r="E60" s="121">
        <f>LOOKUP($D60,tabellen!$E$4:$E$15,tabellen!$D$4:$D$15)</f>
        <v>62</v>
      </c>
    </row>
    <row r="61" spans="4:5" x14ac:dyDescent="0.3">
      <c r="D61" s="121">
        <v>59</v>
      </c>
      <c r="E61" s="121">
        <f>LOOKUP($D61,tabellen!$E$4:$E$15,tabellen!$D$4:$D$15)</f>
        <v>62</v>
      </c>
    </row>
    <row r="62" spans="4:5" x14ac:dyDescent="0.3">
      <c r="D62" s="121">
        <v>60</v>
      </c>
      <c r="E62" s="121">
        <f>LOOKUP($D62,tabellen!$E$4:$E$15,tabellen!$D$4:$D$15)</f>
        <v>62</v>
      </c>
    </row>
    <row r="63" spans="4:5" x14ac:dyDescent="0.3">
      <c r="D63" s="121">
        <v>61</v>
      </c>
      <c r="E63" s="121">
        <f>LOOKUP($D63,tabellen!$E$4:$E$15,tabellen!$D$4:$D$15)</f>
        <v>62</v>
      </c>
    </row>
    <row r="64" spans="4:5" x14ac:dyDescent="0.3">
      <c r="D64" s="121">
        <v>62</v>
      </c>
      <c r="E64" s="121">
        <f>LOOKUP($D64,tabellen!$E$4:$E$15,tabellen!$D$4:$D$15)</f>
        <v>62</v>
      </c>
    </row>
    <row r="65" spans="4:5" x14ac:dyDescent="0.3">
      <c r="D65" s="121">
        <v>63</v>
      </c>
      <c r="E65" s="121">
        <f>LOOKUP($D65,tabellen!$E$4:$E$15,tabellen!$D$4:$D$15)</f>
        <v>62</v>
      </c>
    </row>
    <row r="66" spans="4:5" x14ac:dyDescent="0.3">
      <c r="D66" s="121">
        <v>64</v>
      </c>
      <c r="E66" s="121">
        <f>LOOKUP($D66,tabellen!$E$4:$E$15,tabellen!$D$4:$D$15)</f>
        <v>62</v>
      </c>
    </row>
    <row r="67" spans="4:5" x14ac:dyDescent="0.3">
      <c r="D67" s="121">
        <v>65</v>
      </c>
      <c r="E67" s="121">
        <f>LOOKUP($D67,tabellen!$E$4:$E$15,tabellen!$D$4:$D$15)</f>
        <v>62</v>
      </c>
    </row>
    <row r="68" spans="4:5" x14ac:dyDescent="0.3">
      <c r="D68" s="121">
        <v>66</v>
      </c>
      <c r="E68" s="121">
        <f>LOOKUP($D68,tabellen!$E$4:$E$15,tabellen!$D$4:$D$15)</f>
        <v>62</v>
      </c>
    </row>
    <row r="69" spans="4:5" x14ac:dyDescent="0.3">
      <c r="D69" s="121">
        <v>67</v>
      </c>
      <c r="E69" s="121">
        <f>LOOKUP($D69,tabellen!$E$4:$E$15,tabellen!$D$4:$D$15)</f>
        <v>62</v>
      </c>
    </row>
    <row r="70" spans="4:5" x14ac:dyDescent="0.3">
      <c r="D70" s="121">
        <v>68</v>
      </c>
      <c r="E70" s="121">
        <f>LOOKUP($D70,tabellen!$E$4:$E$15,tabellen!$D$4:$D$15)</f>
        <v>62</v>
      </c>
    </row>
    <row r="71" spans="4:5" x14ac:dyDescent="0.3">
      <c r="D71" s="121">
        <v>69</v>
      </c>
      <c r="E71" s="121">
        <f>LOOKUP($D71,tabellen!$E$4:$E$15,tabellen!$D$4:$D$15)</f>
        <v>62</v>
      </c>
    </row>
    <row r="72" spans="4:5" x14ac:dyDescent="0.3">
      <c r="D72" s="121">
        <v>70</v>
      </c>
      <c r="E72" s="121">
        <f>LOOKUP($D72,tabellen!$E$4:$E$15,tabellen!$D$4:$D$15)</f>
        <v>62</v>
      </c>
    </row>
    <row r="73" spans="4:5" x14ac:dyDescent="0.3">
      <c r="D73" s="121">
        <v>71</v>
      </c>
      <c r="E73" s="121">
        <f>LOOKUP($D73,tabellen!$E$4:$E$15,tabellen!$D$4:$D$15)</f>
        <v>62</v>
      </c>
    </row>
    <row r="74" spans="4:5" x14ac:dyDescent="0.3">
      <c r="D74" s="121">
        <v>72</v>
      </c>
      <c r="E74" s="121">
        <f>LOOKUP($D74,tabellen!$E$4:$E$15,tabellen!$D$4:$D$15)</f>
        <v>62</v>
      </c>
    </row>
    <row r="75" spans="4:5" x14ac:dyDescent="0.3">
      <c r="D75" s="121">
        <v>73</v>
      </c>
      <c r="E75" s="121">
        <f>LOOKUP($D75,tabellen!$E$4:$E$15,tabellen!$D$4:$D$15)</f>
        <v>62</v>
      </c>
    </row>
    <row r="76" spans="4:5" x14ac:dyDescent="0.3">
      <c r="D76" s="121">
        <v>74</v>
      </c>
      <c r="E76" s="121">
        <f>LOOKUP($D76,tabellen!$E$4:$E$15,tabellen!$D$4:$D$15)</f>
        <v>62</v>
      </c>
    </row>
    <row r="77" spans="4:5" x14ac:dyDescent="0.3">
      <c r="D77" s="121">
        <v>75</v>
      </c>
      <c r="E77" s="121">
        <f>LOOKUP($D77,tabellen!$E$4:$E$15,tabellen!$D$4:$D$15)</f>
        <v>62</v>
      </c>
    </row>
    <row r="78" spans="4:5" x14ac:dyDescent="0.3">
      <c r="D78" s="121">
        <v>76</v>
      </c>
      <c r="E78" s="121">
        <f>LOOKUP($D78,tabellen!$E$4:$E$15,tabellen!$D$4:$D$15)</f>
        <v>62</v>
      </c>
    </row>
    <row r="79" spans="4:5" x14ac:dyDescent="0.3">
      <c r="D79" s="121">
        <v>77</v>
      </c>
      <c r="E79" s="121">
        <f>LOOKUP($D79,tabellen!$E$4:$E$15,tabellen!$D$4:$D$15)</f>
        <v>62</v>
      </c>
    </row>
    <row r="80" spans="4:5" x14ac:dyDescent="0.3">
      <c r="D80" s="121">
        <v>78</v>
      </c>
      <c r="E80" s="121">
        <f>LOOKUP($D80,tabellen!$E$4:$E$15,tabellen!$D$4:$D$15)</f>
        <v>72</v>
      </c>
    </row>
    <row r="81" spans="4:5" x14ac:dyDescent="0.3">
      <c r="D81" s="121">
        <v>79</v>
      </c>
      <c r="E81" s="121">
        <f>LOOKUP($D81,tabellen!$E$4:$E$15,tabellen!$D$4:$D$15)</f>
        <v>72</v>
      </c>
    </row>
    <row r="82" spans="4:5" x14ac:dyDescent="0.3">
      <c r="D82" s="121">
        <v>80</v>
      </c>
      <c r="E82" s="121">
        <f>LOOKUP($D82,tabellen!$E$4:$E$15,tabellen!$D$4:$D$15)</f>
        <v>72</v>
      </c>
    </row>
    <row r="83" spans="4:5" x14ac:dyDescent="0.3">
      <c r="D83" s="121">
        <v>81</v>
      </c>
      <c r="E83" s="121">
        <f>LOOKUP($D83,tabellen!$E$4:$E$15,tabellen!$D$4:$D$15)</f>
        <v>72</v>
      </c>
    </row>
    <row r="84" spans="4:5" x14ac:dyDescent="0.3">
      <c r="D84" s="121">
        <v>82</v>
      </c>
      <c r="E84" s="121">
        <f>LOOKUP($D84,tabellen!$E$4:$E$15,tabellen!$D$4:$D$15)</f>
        <v>72</v>
      </c>
    </row>
    <row r="85" spans="4:5" x14ac:dyDescent="0.3">
      <c r="D85" s="121">
        <v>83</v>
      </c>
      <c r="E85" s="121">
        <f>LOOKUP($D85,tabellen!$E$4:$E$15,tabellen!$D$4:$D$15)</f>
        <v>72</v>
      </c>
    </row>
    <row r="86" spans="4:5" x14ac:dyDescent="0.3">
      <c r="D86" s="121">
        <v>84</v>
      </c>
      <c r="E86" s="121">
        <f>LOOKUP($D86,tabellen!$E$4:$E$15,tabellen!$D$4:$D$15)</f>
        <v>72</v>
      </c>
    </row>
    <row r="87" spans="4:5" x14ac:dyDescent="0.3">
      <c r="D87" s="121">
        <v>85</v>
      </c>
      <c r="E87" s="121">
        <f>LOOKUP($D87,tabellen!$E$4:$E$15,tabellen!$D$4:$D$15)</f>
        <v>72</v>
      </c>
    </row>
    <row r="88" spans="4:5" x14ac:dyDescent="0.3">
      <c r="D88" s="121">
        <v>86</v>
      </c>
      <c r="E88" s="121">
        <f>LOOKUP($D88,tabellen!$E$4:$E$15,tabellen!$D$4:$D$15)</f>
        <v>72</v>
      </c>
    </row>
    <row r="89" spans="4:5" x14ac:dyDescent="0.3">
      <c r="D89" s="121">
        <v>87</v>
      </c>
      <c r="E89" s="121">
        <f>LOOKUP($D89,tabellen!$E$4:$E$15,tabellen!$D$4:$D$15)</f>
        <v>72</v>
      </c>
    </row>
    <row r="90" spans="4:5" x14ac:dyDescent="0.3">
      <c r="D90" s="121">
        <v>88</v>
      </c>
      <c r="E90" s="121">
        <f>LOOKUP($D90,tabellen!$E$4:$E$15,tabellen!$D$4:$D$15)</f>
        <v>72</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72</v>
      </c>
    </row>
    <row r="98" spans="4:5" x14ac:dyDescent="0.3">
      <c r="D98" s="121">
        <v>96</v>
      </c>
      <c r="E98" s="121">
        <f>LOOKUP($D98,tabellen!$E$4:$E$15,tabellen!$D$4:$D$15)</f>
        <v>72</v>
      </c>
    </row>
    <row r="99" spans="4:5" x14ac:dyDescent="0.3">
      <c r="D99" s="121">
        <v>97</v>
      </c>
      <c r="E99" s="121">
        <f>LOOKUP($D99,tabellen!$E$4:$E$15,tabellen!$D$4:$D$15)</f>
        <v>72</v>
      </c>
    </row>
    <row r="100" spans="4:5" x14ac:dyDescent="0.3">
      <c r="D100" s="121">
        <v>98</v>
      </c>
      <c r="E100" s="121">
        <f>LOOKUP($D100,tabellen!$E$4:$E$15,tabellen!$D$4:$D$15)</f>
        <v>72</v>
      </c>
    </row>
    <row r="101" spans="4:5" x14ac:dyDescent="0.3">
      <c r="D101" s="121">
        <v>99</v>
      </c>
      <c r="E101" s="121">
        <f>LOOKUP($D101,tabellen!$E$4:$E$15,tabellen!$D$4:$D$15)</f>
        <v>72</v>
      </c>
    </row>
    <row r="102" spans="4:5" x14ac:dyDescent="0.3">
      <c r="D102" s="121">
        <v>100</v>
      </c>
      <c r="E102" s="121">
        <f>LOOKUP($D102,tabellen!$E$4:$E$15,tabellen!$D$4:$D$15)</f>
        <v>72</v>
      </c>
    </row>
    <row r="103" spans="4:5" x14ac:dyDescent="0.3">
      <c r="D103" s="121">
        <v>101</v>
      </c>
      <c r="E103" s="121">
        <f>LOOKUP($D103,tabellen!$E$4:$E$15,tabellen!$D$4:$D$15)</f>
        <v>72</v>
      </c>
    </row>
    <row r="104" spans="4:5" x14ac:dyDescent="0.3">
      <c r="D104" s="121">
        <v>102</v>
      </c>
      <c r="E104" s="121">
        <f>LOOKUP($D104,tabellen!$E$4:$E$15,tabellen!$D$4:$D$15)</f>
        <v>72</v>
      </c>
    </row>
    <row r="105" spans="4:5" x14ac:dyDescent="0.3">
      <c r="D105" s="121">
        <v>103</v>
      </c>
      <c r="E105" s="121">
        <f>LOOKUP($D105,tabellen!$E$4:$E$15,tabellen!$D$4:$D$15)</f>
        <v>72</v>
      </c>
    </row>
    <row r="106" spans="4:5" x14ac:dyDescent="0.3">
      <c r="D106" s="121">
        <v>104</v>
      </c>
      <c r="E106" s="121">
        <f>LOOKUP($D106,tabellen!$E$4:$E$15,tabellen!$D$4:$D$15)</f>
        <v>78</v>
      </c>
    </row>
    <row r="107" spans="4:5" x14ac:dyDescent="0.3">
      <c r="D107" s="121">
        <v>105</v>
      </c>
      <c r="E107" s="121">
        <f>LOOKUP($D107,tabellen!$E$4:$E$15,tabellen!$D$4:$D$15)</f>
        <v>78</v>
      </c>
    </row>
    <row r="108" spans="4:5" x14ac:dyDescent="0.3">
      <c r="D108" s="121">
        <v>106</v>
      </c>
      <c r="E108" s="121">
        <f>LOOKUP($D108,tabellen!$E$4:$E$15,tabellen!$D$4:$D$15)</f>
        <v>78</v>
      </c>
    </row>
    <row r="109" spans="4:5" x14ac:dyDescent="0.3">
      <c r="D109" s="121">
        <v>107</v>
      </c>
      <c r="E109" s="121">
        <f>LOOKUP($D109,tabellen!$E$4:$E$15,tabellen!$D$4:$D$15)</f>
        <v>78</v>
      </c>
    </row>
    <row r="110" spans="4:5" x14ac:dyDescent="0.3">
      <c r="D110" s="121">
        <v>108</v>
      </c>
      <c r="E110" s="121">
        <f>LOOKUP($D110,tabellen!$E$4:$E$15,tabellen!$D$4:$D$15)</f>
        <v>78</v>
      </c>
    </row>
    <row r="111" spans="4:5" x14ac:dyDescent="0.3">
      <c r="D111" s="121">
        <v>109</v>
      </c>
      <c r="E111" s="121">
        <f>LOOKUP($D111,tabellen!$E$4:$E$15,tabellen!$D$4:$D$15)</f>
        <v>78</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66</v>
      </c>
    </row>
    <row r="172" spans="4:5" x14ac:dyDescent="0.3">
      <c r="D172" s="121">
        <v>170</v>
      </c>
      <c r="E172" s="121">
        <f>LOOKUP($D172,tabellen!$E$4:$E$15,tabellen!$D$4:$D$15)</f>
        <v>66</v>
      </c>
    </row>
    <row r="173" spans="4:5" x14ac:dyDescent="0.3">
      <c r="D173" s="121">
        <v>171</v>
      </c>
      <c r="E173" s="121">
        <f>LOOKUP($D173,tabellen!$E$4:$E$15,tabellen!$D$4:$D$15)</f>
        <v>66</v>
      </c>
    </row>
    <row r="174" spans="4:5" x14ac:dyDescent="0.3">
      <c r="D174" s="121">
        <v>172</v>
      </c>
      <c r="E174" s="121">
        <f>LOOKUP($D174,tabellen!$E$4:$E$15,tabellen!$D$4:$D$15)</f>
        <v>66</v>
      </c>
    </row>
    <row r="175" spans="4:5" x14ac:dyDescent="0.3">
      <c r="D175" s="121">
        <v>173</v>
      </c>
      <c r="E175" s="121">
        <f>LOOKUP($D175,tabellen!$E$4:$E$15,tabellen!$D$4:$D$15)</f>
        <v>66</v>
      </c>
    </row>
    <row r="176" spans="4:5" x14ac:dyDescent="0.3">
      <c r="D176" s="121">
        <v>174</v>
      </c>
      <c r="E176" s="121">
        <f>LOOKUP($D176,tabellen!$E$4:$E$15,tabellen!$D$4:$D$15)</f>
        <v>66</v>
      </c>
    </row>
    <row r="177" spans="4:5" x14ac:dyDescent="0.3">
      <c r="D177" s="121">
        <v>175</v>
      </c>
      <c r="E177" s="121">
        <f>LOOKUP($D177,tabellen!$E$4:$E$15,tabellen!$D$4:$D$15)</f>
        <v>66</v>
      </c>
    </row>
    <row r="178" spans="4:5" x14ac:dyDescent="0.3">
      <c r="D178" s="121">
        <v>176</v>
      </c>
      <c r="E178" s="121">
        <f>LOOKUP($D178,tabellen!$E$4:$E$15,tabellen!$D$4:$D$15)</f>
        <v>66</v>
      </c>
    </row>
    <row r="179" spans="4:5" x14ac:dyDescent="0.3">
      <c r="D179" s="121">
        <v>177</v>
      </c>
      <c r="E179" s="121">
        <f>LOOKUP($D179,tabellen!$E$4:$E$15,tabellen!$D$4:$D$15)</f>
        <v>66</v>
      </c>
    </row>
    <row r="180" spans="4:5" x14ac:dyDescent="0.3">
      <c r="D180" s="121">
        <v>178</v>
      </c>
      <c r="E180" s="121">
        <f>LOOKUP($D180,tabellen!$E$4:$E$15,tabellen!$D$4:$D$15)</f>
        <v>66</v>
      </c>
    </row>
    <row r="181" spans="4:5" x14ac:dyDescent="0.3">
      <c r="D181" s="121">
        <v>179</v>
      </c>
      <c r="E181" s="121">
        <f>LOOKUP($D181,tabellen!$E$4:$E$15,tabellen!$D$4:$D$15)</f>
        <v>66</v>
      </c>
    </row>
    <row r="182" spans="4:5" x14ac:dyDescent="0.3">
      <c r="D182" s="121">
        <v>180</v>
      </c>
      <c r="E182" s="121">
        <f>LOOKUP($D182,tabellen!$E$4:$E$15,tabellen!$D$4:$D$15)</f>
        <v>66</v>
      </c>
    </row>
    <row r="183" spans="4:5" x14ac:dyDescent="0.3">
      <c r="D183" s="121">
        <v>181</v>
      </c>
      <c r="E183" s="121">
        <f>LOOKUP($D183,tabellen!$E$4:$E$15,tabellen!$D$4:$D$15)</f>
        <v>66</v>
      </c>
    </row>
    <row r="184" spans="4:5" x14ac:dyDescent="0.3">
      <c r="D184" s="121">
        <v>182</v>
      </c>
      <c r="E184" s="121">
        <f>LOOKUP($D184,tabellen!$E$4:$E$15,tabellen!$D$4:$D$15)</f>
        <v>66</v>
      </c>
    </row>
    <row r="185" spans="4:5" x14ac:dyDescent="0.3">
      <c r="D185" s="121">
        <v>183</v>
      </c>
      <c r="E185" s="121">
        <f>LOOKUP($D185,tabellen!$E$4:$E$15,tabellen!$D$4:$D$15)</f>
        <v>66</v>
      </c>
    </row>
    <row r="186" spans="4:5" x14ac:dyDescent="0.3">
      <c r="D186" s="121">
        <v>184</v>
      </c>
      <c r="E186" s="121">
        <f>LOOKUP($D186,tabellen!$E$4:$E$15,tabellen!$D$4:$D$15)</f>
        <v>66</v>
      </c>
    </row>
    <row r="187" spans="4:5" x14ac:dyDescent="0.3">
      <c r="D187" s="121">
        <v>185</v>
      </c>
      <c r="E187" s="121">
        <f>LOOKUP($D187,tabellen!$E$4:$E$15,tabellen!$D$4:$D$15)</f>
        <v>66</v>
      </c>
    </row>
    <row r="188" spans="4:5" x14ac:dyDescent="0.3">
      <c r="D188" s="121">
        <v>186</v>
      </c>
      <c r="E188" s="121">
        <f>LOOKUP($D188,tabellen!$E$4:$E$15,tabellen!$D$4:$D$15)</f>
        <v>66</v>
      </c>
    </row>
    <row r="189" spans="4:5" x14ac:dyDescent="0.3">
      <c r="D189" s="121">
        <v>187</v>
      </c>
      <c r="E189" s="121">
        <f>LOOKUP($D189,tabellen!$E$4:$E$15,tabellen!$D$4:$D$15)</f>
        <v>66</v>
      </c>
    </row>
    <row r="190" spans="4:5" x14ac:dyDescent="0.3">
      <c r="D190" s="121">
        <v>188</v>
      </c>
      <c r="E190" s="121">
        <f>LOOKUP($D190,tabellen!$E$4:$E$15,tabellen!$D$4:$D$15)</f>
        <v>66</v>
      </c>
    </row>
    <row r="191" spans="4:5" x14ac:dyDescent="0.3">
      <c r="D191" s="121">
        <v>189</v>
      </c>
      <c r="E191" s="121">
        <f>LOOKUP($D191,tabellen!$E$4:$E$15,tabellen!$D$4:$D$15)</f>
        <v>66</v>
      </c>
    </row>
    <row r="192" spans="4:5" x14ac:dyDescent="0.3">
      <c r="D192" s="121">
        <v>190</v>
      </c>
      <c r="E192" s="121">
        <f>LOOKUP($D192,tabellen!$E$4:$E$15,tabellen!$D$4:$D$15)</f>
        <v>66</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6" workbookViewId="0">
      <selection activeCell="K5" sqref="K5"/>
    </sheetView>
  </sheetViews>
  <sheetFormatPr defaultRowHeight="12.75" x14ac:dyDescent="0.2"/>
  <sheetData>
    <row r="1" spans="1:9" ht="16.5" x14ac:dyDescent="0.2">
      <c r="A1" s="633" t="s">
        <v>956</v>
      </c>
      <c r="B1" s="634"/>
      <c r="C1" s="634"/>
      <c r="D1" s="634"/>
      <c r="E1" s="634"/>
      <c r="F1" s="634"/>
      <c r="G1" s="634"/>
      <c r="H1" s="634"/>
      <c r="I1" s="635"/>
    </row>
    <row r="2" spans="1:9" ht="12.75" customHeight="1" x14ac:dyDescent="0.2">
      <c r="A2" s="639" t="s">
        <v>959</v>
      </c>
      <c r="B2" s="640"/>
      <c r="C2" s="640"/>
      <c r="D2" s="640"/>
      <c r="E2" s="640"/>
      <c r="F2" s="640"/>
      <c r="G2" s="640"/>
      <c r="H2" s="640"/>
      <c r="I2" s="641"/>
    </row>
    <row r="3" spans="1:9" ht="12.75" customHeight="1" x14ac:dyDescent="0.2">
      <c r="A3" s="639"/>
      <c r="B3" s="640"/>
      <c r="C3" s="640"/>
      <c r="D3" s="640"/>
      <c r="E3" s="640"/>
      <c r="F3" s="640"/>
      <c r="G3" s="640"/>
      <c r="H3" s="640"/>
      <c r="I3" s="641"/>
    </row>
    <row r="4" spans="1:9" x14ac:dyDescent="0.2">
      <c r="A4" s="639"/>
      <c r="B4" s="640"/>
      <c r="C4" s="640"/>
      <c r="D4" s="640"/>
      <c r="E4" s="640"/>
      <c r="F4" s="640"/>
      <c r="G4" s="640"/>
      <c r="H4" s="640"/>
      <c r="I4" s="641"/>
    </row>
    <row r="5" spans="1:9" ht="12.75" customHeight="1" x14ac:dyDescent="0.2">
      <c r="A5" s="639"/>
      <c r="B5" s="640"/>
      <c r="C5" s="640"/>
      <c r="D5" s="640"/>
      <c r="E5" s="640"/>
      <c r="F5" s="640"/>
      <c r="G5" s="640"/>
      <c r="H5" s="640"/>
      <c r="I5" s="641"/>
    </row>
    <row r="6" spans="1:9" ht="12.75" customHeight="1" x14ac:dyDescent="0.2">
      <c r="A6" s="642" t="s">
        <v>429</v>
      </c>
      <c r="B6" s="643"/>
      <c r="C6" s="643"/>
      <c r="D6" s="643"/>
      <c r="E6" s="643"/>
      <c r="F6" s="643"/>
      <c r="G6" s="643"/>
      <c r="H6" s="643"/>
      <c r="I6" s="644"/>
    </row>
    <row r="7" spans="1:9" ht="12.75" customHeight="1" x14ac:dyDescent="0.2">
      <c r="A7" s="642"/>
      <c r="B7" s="643"/>
      <c r="C7" s="643"/>
      <c r="D7" s="643"/>
      <c r="E7" s="643"/>
      <c r="F7" s="643"/>
      <c r="G7" s="643"/>
      <c r="H7" s="643"/>
      <c r="I7" s="644"/>
    </row>
    <row r="8" spans="1:9" ht="12.75" customHeight="1" x14ac:dyDescent="0.2">
      <c r="A8" s="642"/>
      <c r="B8" s="643"/>
      <c r="C8" s="643"/>
      <c r="D8" s="643"/>
      <c r="E8" s="643"/>
      <c r="F8" s="643"/>
      <c r="G8" s="643"/>
      <c r="H8" s="643"/>
      <c r="I8" s="644"/>
    </row>
    <row r="9" spans="1:9" ht="12.75" customHeight="1" x14ac:dyDescent="0.2">
      <c r="A9" s="652" t="s">
        <v>440</v>
      </c>
      <c r="B9" s="653"/>
      <c r="C9" s="653"/>
      <c r="D9" s="653"/>
      <c r="E9" s="653"/>
      <c r="F9" s="653"/>
      <c r="G9" s="653"/>
      <c r="H9" s="653"/>
      <c r="I9" s="654"/>
    </row>
    <row r="10" spans="1:9" ht="12.75" customHeight="1" x14ac:dyDescent="0.2">
      <c r="A10" s="652"/>
      <c r="B10" s="653"/>
      <c r="C10" s="653"/>
      <c r="D10" s="653"/>
      <c r="E10" s="653"/>
      <c r="F10" s="653"/>
      <c r="G10" s="653"/>
      <c r="H10" s="653"/>
      <c r="I10" s="654"/>
    </row>
    <row r="11" spans="1:9" ht="12.75" customHeight="1" x14ac:dyDescent="0.2">
      <c r="A11" s="655" t="s">
        <v>441</v>
      </c>
      <c r="B11" s="656"/>
      <c r="C11" s="656"/>
      <c r="D11" s="656"/>
      <c r="E11" s="656"/>
      <c r="F11" s="656"/>
      <c r="G11" s="656"/>
      <c r="H11" s="656"/>
      <c r="I11" s="657"/>
    </row>
    <row r="12" spans="1:9" x14ac:dyDescent="0.2">
      <c r="A12" s="655"/>
      <c r="B12" s="656"/>
      <c r="C12" s="656"/>
      <c r="D12" s="656"/>
      <c r="E12" s="656"/>
      <c r="F12" s="656"/>
      <c r="G12" s="656"/>
      <c r="H12" s="656"/>
      <c r="I12" s="657"/>
    </row>
    <row r="13" spans="1:9" ht="12.75" customHeight="1" x14ac:dyDescent="0.2">
      <c r="A13" s="633" t="s">
        <v>961</v>
      </c>
      <c r="B13" s="634"/>
      <c r="C13" s="634"/>
      <c r="D13" s="634"/>
      <c r="E13" s="634"/>
      <c r="F13" s="634"/>
      <c r="G13" s="634"/>
      <c r="H13" s="634"/>
      <c r="I13" s="635"/>
    </row>
    <row r="14" spans="1:9" ht="12.75" customHeight="1" x14ac:dyDescent="0.2">
      <c r="A14" s="636" t="s">
        <v>957</v>
      </c>
      <c r="B14" s="637"/>
      <c r="C14" s="637"/>
      <c r="D14" s="637"/>
      <c r="E14" s="637"/>
      <c r="F14" s="637"/>
      <c r="G14" s="637"/>
      <c r="H14" s="637"/>
      <c r="I14" s="638"/>
    </row>
    <row r="15" spans="1:9" ht="12.75" customHeight="1" x14ac:dyDescent="0.2">
      <c r="A15" s="636"/>
      <c r="B15" s="637"/>
      <c r="C15" s="637"/>
      <c r="D15" s="637"/>
      <c r="E15" s="637"/>
      <c r="F15" s="637"/>
      <c r="G15" s="637"/>
      <c r="H15" s="637"/>
      <c r="I15" s="638"/>
    </row>
    <row r="16" spans="1:9" ht="12.75" customHeight="1" x14ac:dyDescent="0.2">
      <c r="A16" s="636"/>
      <c r="B16" s="637"/>
      <c r="C16" s="637"/>
      <c r="D16" s="637"/>
      <c r="E16" s="637"/>
      <c r="F16" s="637"/>
      <c r="G16" s="637"/>
      <c r="H16" s="637"/>
      <c r="I16" s="638"/>
    </row>
    <row r="17" spans="1:9" ht="12.75" customHeight="1" x14ac:dyDescent="0.2">
      <c r="A17" s="639" t="s">
        <v>958</v>
      </c>
      <c r="B17" s="640"/>
      <c r="C17" s="640"/>
      <c r="D17" s="640"/>
      <c r="E17" s="640"/>
      <c r="F17" s="640"/>
      <c r="G17" s="640"/>
      <c r="H17" s="640"/>
      <c r="I17" s="641"/>
    </row>
    <row r="18" spans="1:9" ht="12.75" customHeight="1" x14ac:dyDescent="0.2">
      <c r="A18" s="639"/>
      <c r="B18" s="640"/>
      <c r="C18" s="640"/>
      <c r="D18" s="640"/>
      <c r="E18" s="640"/>
      <c r="F18" s="640"/>
      <c r="G18" s="640"/>
      <c r="H18" s="640"/>
      <c r="I18" s="641"/>
    </row>
    <row r="19" spans="1:9" ht="12.75" customHeight="1" x14ac:dyDescent="0.2">
      <c r="A19" s="639"/>
      <c r="B19" s="640"/>
      <c r="C19" s="640"/>
      <c r="D19" s="640"/>
      <c r="E19" s="640"/>
      <c r="F19" s="640"/>
      <c r="G19" s="640"/>
      <c r="H19" s="640"/>
      <c r="I19" s="641"/>
    </row>
    <row r="20" spans="1:9" x14ac:dyDescent="0.2">
      <c r="A20" s="639"/>
      <c r="B20" s="640"/>
      <c r="C20" s="640"/>
      <c r="D20" s="640"/>
      <c r="E20" s="640"/>
      <c r="F20" s="640"/>
      <c r="G20" s="640"/>
      <c r="H20" s="640"/>
      <c r="I20" s="641"/>
    </row>
    <row r="21" spans="1:9" ht="12.75" customHeight="1" x14ac:dyDescent="0.2">
      <c r="A21" s="639" t="s">
        <v>997</v>
      </c>
      <c r="B21" s="658"/>
      <c r="C21" s="658"/>
      <c r="D21" s="658"/>
      <c r="E21" s="658"/>
      <c r="F21" s="658"/>
      <c r="G21" s="658"/>
      <c r="H21" s="658"/>
      <c r="I21" s="659"/>
    </row>
    <row r="22" spans="1:9" ht="12.75" customHeight="1" x14ac:dyDescent="0.2">
      <c r="A22" s="660"/>
      <c r="B22" s="658"/>
      <c r="C22" s="658"/>
      <c r="D22" s="658"/>
      <c r="E22" s="658"/>
      <c r="F22" s="658"/>
      <c r="G22" s="658"/>
      <c r="H22" s="658"/>
      <c r="I22" s="659"/>
    </row>
    <row r="23" spans="1:9" ht="12.75" customHeight="1" x14ac:dyDescent="0.2">
      <c r="A23" s="660"/>
      <c r="B23" s="658"/>
      <c r="C23" s="658"/>
      <c r="D23" s="658"/>
      <c r="E23" s="658"/>
      <c r="F23" s="658"/>
      <c r="G23" s="658"/>
      <c r="H23" s="658"/>
      <c r="I23" s="659"/>
    </row>
    <row r="24" spans="1:9" ht="12.75" customHeight="1" x14ac:dyDescent="0.2">
      <c r="A24" s="660"/>
      <c r="B24" s="658"/>
      <c r="C24" s="658"/>
      <c r="D24" s="658"/>
      <c r="E24" s="658"/>
      <c r="F24" s="658"/>
      <c r="G24" s="658"/>
      <c r="H24" s="658"/>
      <c r="I24" s="659"/>
    </row>
    <row r="25" spans="1:9" ht="12.75" customHeight="1" x14ac:dyDescent="0.2">
      <c r="A25" s="660"/>
      <c r="B25" s="658"/>
      <c r="C25" s="658"/>
      <c r="D25" s="658"/>
      <c r="E25" s="658"/>
      <c r="F25" s="658"/>
      <c r="G25" s="658"/>
      <c r="H25" s="658"/>
      <c r="I25" s="659"/>
    </row>
    <row r="26" spans="1:9" ht="12.75" customHeight="1" x14ac:dyDescent="0.2">
      <c r="A26" s="661"/>
      <c r="B26" s="662"/>
      <c r="C26" s="662"/>
      <c r="D26" s="662"/>
      <c r="E26" s="662"/>
      <c r="F26" s="662"/>
      <c r="G26" s="662"/>
      <c r="H26" s="662"/>
      <c r="I26" s="663"/>
    </row>
    <row r="27" spans="1:9" ht="16.5" x14ac:dyDescent="0.2">
      <c r="A27" s="633" t="s">
        <v>963</v>
      </c>
      <c r="B27" s="634"/>
      <c r="C27" s="634"/>
      <c r="D27" s="634"/>
      <c r="E27" s="634"/>
      <c r="F27" s="634"/>
      <c r="G27" s="634"/>
      <c r="H27" s="634"/>
      <c r="I27" s="635"/>
    </row>
    <row r="28" spans="1:9" x14ac:dyDescent="0.2">
      <c r="A28" s="667" t="s">
        <v>960</v>
      </c>
      <c r="B28" s="668"/>
      <c r="C28" s="668"/>
      <c r="D28" s="668"/>
      <c r="E28" s="668"/>
      <c r="F28" s="668"/>
      <c r="G28" s="668"/>
      <c r="H28" s="668"/>
      <c r="I28" s="669"/>
    </row>
    <row r="29" spans="1:9" x14ac:dyDescent="0.2">
      <c r="A29" s="636"/>
      <c r="B29" s="637"/>
      <c r="C29" s="637"/>
      <c r="D29" s="637"/>
      <c r="E29" s="637"/>
      <c r="F29" s="637"/>
      <c r="G29" s="637"/>
      <c r="H29" s="637"/>
      <c r="I29" s="638"/>
    </row>
    <row r="30" spans="1:9" x14ac:dyDescent="0.2">
      <c r="A30" s="670"/>
      <c r="B30" s="671"/>
      <c r="C30" s="671"/>
      <c r="D30" s="671"/>
      <c r="E30" s="671"/>
      <c r="F30" s="671"/>
      <c r="G30" s="671"/>
      <c r="H30" s="671"/>
      <c r="I30" s="672"/>
    </row>
    <row r="31" spans="1:9" x14ac:dyDescent="0.2">
      <c r="A31" s="667" t="s">
        <v>962</v>
      </c>
      <c r="B31" s="673"/>
      <c r="C31" s="673"/>
      <c r="D31" s="673"/>
      <c r="E31" s="673"/>
      <c r="F31" s="673"/>
      <c r="G31" s="673"/>
      <c r="H31" s="673"/>
      <c r="I31" s="674"/>
    </row>
    <row r="32" spans="1:9" x14ac:dyDescent="0.2">
      <c r="A32" s="675"/>
      <c r="B32" s="676"/>
      <c r="C32" s="676"/>
      <c r="D32" s="676"/>
      <c r="E32" s="676"/>
      <c r="F32" s="676"/>
      <c r="G32" s="676"/>
      <c r="H32" s="676"/>
      <c r="I32" s="677"/>
    </row>
    <row r="33" spans="1:9" ht="18.75" customHeight="1" x14ac:dyDescent="0.2">
      <c r="A33" s="645" t="s">
        <v>1035</v>
      </c>
      <c r="B33" s="646"/>
      <c r="C33" s="646"/>
      <c r="D33" s="646"/>
      <c r="E33" s="646"/>
      <c r="F33" s="646"/>
      <c r="G33" s="646"/>
      <c r="H33" s="646"/>
      <c r="I33" s="647"/>
    </row>
    <row r="34" spans="1:9" ht="45" customHeight="1" x14ac:dyDescent="0.2">
      <c r="A34" s="664" t="s">
        <v>1036</v>
      </c>
      <c r="B34" s="665"/>
      <c r="C34" s="665"/>
      <c r="D34" s="665"/>
      <c r="E34" s="665"/>
      <c r="F34" s="665"/>
      <c r="G34" s="665"/>
      <c r="H34" s="665"/>
      <c r="I34" s="666"/>
    </row>
    <row r="36" spans="1:9" ht="16.5" x14ac:dyDescent="0.2">
      <c r="A36" s="645" t="s">
        <v>1048</v>
      </c>
      <c r="B36" s="646"/>
      <c r="C36" s="646"/>
      <c r="D36" s="646"/>
      <c r="E36" s="646"/>
      <c r="F36" s="646"/>
      <c r="G36" s="646"/>
      <c r="H36" s="646"/>
      <c r="I36" s="647"/>
    </row>
    <row r="37" spans="1:9" x14ac:dyDescent="0.2">
      <c r="A37" s="648" t="s">
        <v>1049</v>
      </c>
      <c r="B37" s="649"/>
      <c r="C37" s="649"/>
      <c r="D37" s="649"/>
      <c r="E37" s="649"/>
      <c r="F37" s="649"/>
      <c r="G37" s="649"/>
      <c r="H37" s="649"/>
      <c r="I37" s="649"/>
    </row>
    <row r="38" spans="1:9" x14ac:dyDescent="0.2">
      <c r="A38" s="650"/>
      <c r="B38" s="650"/>
      <c r="C38" s="650"/>
      <c r="D38" s="650"/>
      <c r="E38" s="650"/>
      <c r="F38" s="650"/>
      <c r="G38" s="650"/>
      <c r="H38" s="650"/>
      <c r="I38" s="650"/>
    </row>
    <row r="39" spans="1:9" x14ac:dyDescent="0.2">
      <c r="A39" s="650"/>
      <c r="B39" s="650"/>
      <c r="C39" s="650"/>
      <c r="D39" s="650"/>
      <c r="E39" s="650"/>
      <c r="F39" s="650"/>
      <c r="G39" s="650"/>
      <c r="H39" s="650"/>
      <c r="I39" s="650"/>
    </row>
    <row r="40" spans="1:9" ht="41.25" customHeight="1" x14ac:dyDescent="0.2">
      <c r="A40" s="651"/>
      <c r="B40" s="651"/>
      <c r="C40" s="651"/>
      <c r="D40" s="651"/>
      <c r="E40" s="651"/>
      <c r="F40" s="651"/>
      <c r="G40" s="651"/>
      <c r="H40" s="651"/>
      <c r="I40" s="651"/>
    </row>
    <row r="42" spans="1:9" ht="16.5" x14ac:dyDescent="0.2">
      <c r="A42" s="645" t="s">
        <v>1077</v>
      </c>
      <c r="B42" s="646"/>
      <c r="C42" s="646"/>
      <c r="D42" s="646"/>
      <c r="E42" s="646"/>
      <c r="F42" s="646"/>
      <c r="G42" s="646"/>
      <c r="H42" s="646"/>
      <c r="I42" s="647"/>
    </row>
    <row r="43" spans="1:9" x14ac:dyDescent="0.2">
      <c r="A43" s="648" t="s">
        <v>1078</v>
      </c>
      <c r="B43" s="649"/>
      <c r="C43" s="649"/>
      <c r="D43" s="649"/>
      <c r="E43" s="649"/>
      <c r="F43" s="649"/>
      <c r="G43" s="649"/>
      <c r="H43" s="649"/>
      <c r="I43" s="649"/>
    </row>
    <row r="44" spans="1:9" x14ac:dyDescent="0.2">
      <c r="A44" s="650"/>
      <c r="B44" s="650"/>
      <c r="C44" s="650"/>
      <c r="D44" s="650"/>
      <c r="E44" s="650"/>
      <c r="F44" s="650"/>
      <c r="G44" s="650"/>
      <c r="H44" s="650"/>
      <c r="I44" s="650"/>
    </row>
    <row r="45" spans="1:9" x14ac:dyDescent="0.2">
      <c r="A45" s="650"/>
      <c r="B45" s="650"/>
      <c r="C45" s="650"/>
      <c r="D45" s="650"/>
      <c r="E45" s="650"/>
      <c r="F45" s="650"/>
      <c r="G45" s="650"/>
      <c r="H45" s="650"/>
      <c r="I45" s="650"/>
    </row>
    <row r="46" spans="1:9" x14ac:dyDescent="0.2">
      <c r="A46" s="651"/>
      <c r="B46" s="651"/>
      <c r="C46" s="651"/>
      <c r="D46" s="651"/>
      <c r="E46" s="651"/>
      <c r="F46" s="651"/>
      <c r="G46" s="651"/>
      <c r="H46" s="651"/>
      <c r="I46" s="651"/>
    </row>
    <row r="48" spans="1:9" ht="16.5" x14ac:dyDescent="0.2">
      <c r="A48" s="645" t="s">
        <v>1083</v>
      </c>
      <c r="B48" s="646"/>
      <c r="C48" s="646"/>
      <c r="D48" s="646"/>
      <c r="E48" s="646"/>
      <c r="F48" s="646"/>
      <c r="G48" s="646"/>
      <c r="H48" s="646"/>
      <c r="I48" s="647"/>
    </row>
    <row r="49" spans="1:9" x14ac:dyDescent="0.2">
      <c r="A49" s="648" t="s">
        <v>1084</v>
      </c>
      <c r="B49" s="649"/>
      <c r="C49" s="649"/>
      <c r="D49" s="649"/>
      <c r="E49" s="649"/>
      <c r="F49" s="649"/>
      <c r="G49" s="649"/>
      <c r="H49" s="649"/>
      <c r="I49" s="649"/>
    </row>
    <row r="50" spans="1:9" x14ac:dyDescent="0.2">
      <c r="A50" s="650"/>
      <c r="B50" s="650"/>
      <c r="C50" s="650"/>
      <c r="D50" s="650"/>
      <c r="E50" s="650"/>
      <c r="F50" s="650"/>
      <c r="G50" s="650"/>
      <c r="H50" s="650"/>
      <c r="I50" s="650"/>
    </row>
    <row r="51" spans="1:9" x14ac:dyDescent="0.2">
      <c r="A51" s="650"/>
      <c r="B51" s="650"/>
      <c r="C51" s="650"/>
      <c r="D51" s="650"/>
      <c r="E51" s="650"/>
      <c r="F51" s="650"/>
      <c r="G51" s="650"/>
      <c r="H51" s="650"/>
      <c r="I51" s="650"/>
    </row>
    <row r="52" spans="1:9" x14ac:dyDescent="0.2">
      <c r="A52" s="651"/>
      <c r="B52" s="651"/>
      <c r="C52" s="651"/>
      <c r="D52" s="651"/>
      <c r="E52" s="651"/>
      <c r="F52" s="651"/>
      <c r="G52" s="651"/>
      <c r="H52" s="651"/>
      <c r="I52" s="651"/>
    </row>
  </sheetData>
  <sheetProtection password="CC6F" sheet="1"/>
  <mergeCells count="20">
    <mergeCell ref="A48:I48"/>
    <mergeCell ref="A49:I52"/>
    <mergeCell ref="A9:I10"/>
    <mergeCell ref="A11:I12"/>
    <mergeCell ref="A21:I26"/>
    <mergeCell ref="A33:I33"/>
    <mergeCell ref="A34:I34"/>
    <mergeCell ref="A27:I27"/>
    <mergeCell ref="A28:I30"/>
    <mergeCell ref="A31:I32"/>
    <mergeCell ref="A42:I42"/>
    <mergeCell ref="A43:I46"/>
    <mergeCell ref="A36:I36"/>
    <mergeCell ref="A37:I40"/>
    <mergeCell ref="A1:I1"/>
    <mergeCell ref="A13:I13"/>
    <mergeCell ref="A14:I16"/>
    <mergeCell ref="A17:I20"/>
    <mergeCell ref="A2:I5"/>
    <mergeCell ref="A6:I8"/>
  </mergeCells>
  <phoneticPr fontId="0" type="noConversion"/>
  <pageMargins left="0.75" right="0.75" top="1" bottom="1" header="0.5" footer="0.5"/>
  <pageSetup paperSize="9" orientation="portrait"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4" sqref="M34"/>
    </sheetView>
  </sheetViews>
  <sheetFormatPr defaultRowHeight="12.75" x14ac:dyDescent="0.2"/>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45" sqref="B45"/>
    </sheetView>
  </sheetViews>
  <sheetFormatPr defaultRowHeight="15" x14ac:dyDescent="0.3"/>
  <cols>
    <col min="1" max="1" width="5.140625" style="121" customWidth="1"/>
    <col min="2" max="2" width="77.5703125" style="270" customWidth="1"/>
    <col min="3" max="3" width="12.28515625" style="269" customWidth="1"/>
  </cols>
  <sheetData>
    <row r="1" spans="1:3" ht="24.75" x14ac:dyDescent="0.2">
      <c r="A1" s="569" t="str">
        <f>'berekening Wort'!C2</f>
        <v>Weizenbock</v>
      </c>
      <c r="B1" s="570"/>
      <c r="C1" s="571"/>
    </row>
    <row r="2" spans="1:3" ht="19.5" x14ac:dyDescent="0.3">
      <c r="A2" s="279">
        <v>1</v>
      </c>
      <c r="B2" s="567" t="s">
        <v>1029</v>
      </c>
      <c r="C2" s="568"/>
    </row>
    <row r="3" spans="1:3" ht="35.25" customHeight="1" x14ac:dyDescent="0.2">
      <c r="A3" s="280"/>
      <c r="B3" s="278" t="s">
        <v>1002</v>
      </c>
      <c r="C3" s="281"/>
    </row>
    <row r="4" spans="1:3" x14ac:dyDescent="0.3">
      <c r="A4" s="279">
        <v>2</v>
      </c>
      <c r="B4" s="272" t="s">
        <v>1003</v>
      </c>
      <c r="C4" s="283"/>
    </row>
    <row r="5" spans="1:3" x14ac:dyDescent="0.3">
      <c r="A5" s="279">
        <v>3</v>
      </c>
      <c r="B5" s="272" t="s">
        <v>1001</v>
      </c>
      <c r="C5" s="283"/>
    </row>
    <row r="6" spans="1:3" x14ac:dyDescent="0.3">
      <c r="A6" s="279">
        <v>4</v>
      </c>
      <c r="B6" s="272" t="s">
        <v>1004</v>
      </c>
      <c r="C6" s="283"/>
    </row>
    <row r="7" spans="1:3" x14ac:dyDescent="0.3">
      <c r="A7" s="279">
        <v>5</v>
      </c>
      <c r="B7" s="272" t="s">
        <v>1005</v>
      </c>
      <c r="C7" s="284">
        <f>'berekening Wort'!J3</f>
        <v>14.839999999999998</v>
      </c>
    </row>
    <row r="8" spans="1:3" x14ac:dyDescent="0.3">
      <c r="A8" s="279">
        <v>6</v>
      </c>
      <c r="B8" s="272" t="s">
        <v>1006</v>
      </c>
      <c r="C8" s="276">
        <f>'berekening Wort'!D52</f>
        <v>44</v>
      </c>
    </row>
    <row r="9" spans="1:3" x14ac:dyDescent="0.3">
      <c r="A9" s="279">
        <v>7</v>
      </c>
      <c r="B9" s="272" t="s">
        <v>1043</v>
      </c>
      <c r="C9" s="283"/>
    </row>
    <row r="10" spans="1:3" x14ac:dyDescent="0.3">
      <c r="A10" s="279">
        <v>8</v>
      </c>
      <c r="B10" s="272" t="s">
        <v>1044</v>
      </c>
      <c r="C10" s="285">
        <f>'berekening Wort'!D53</f>
        <v>10</v>
      </c>
    </row>
    <row r="11" spans="1:3" x14ac:dyDescent="0.3">
      <c r="A11" s="279" t="s">
        <v>1008</v>
      </c>
      <c r="B11" s="272" t="s">
        <v>1007</v>
      </c>
      <c r="C11" s="276">
        <f>'berekening Wort'!E52</f>
        <v>50</v>
      </c>
    </row>
    <row r="12" spans="1:3" x14ac:dyDescent="0.3">
      <c r="A12" s="279" t="s">
        <v>1009</v>
      </c>
      <c r="B12" s="272" t="s">
        <v>1045</v>
      </c>
      <c r="C12" s="285">
        <f>'berekening Wort'!E53</f>
        <v>10</v>
      </c>
    </row>
    <row r="13" spans="1:3" x14ac:dyDescent="0.3">
      <c r="A13" s="279">
        <v>9</v>
      </c>
      <c r="B13" s="272" t="s">
        <v>1007</v>
      </c>
      <c r="C13" s="276">
        <f>'berekening Wort'!F52</f>
        <v>62</v>
      </c>
    </row>
    <row r="14" spans="1:3" x14ac:dyDescent="0.3">
      <c r="A14" s="279">
        <v>10</v>
      </c>
      <c r="B14" s="272" t="s">
        <v>1020</v>
      </c>
      <c r="C14" s="285">
        <f>'berekening Wort'!F53</f>
        <v>30</v>
      </c>
    </row>
    <row r="15" spans="1:3" x14ac:dyDescent="0.3">
      <c r="A15" s="279">
        <v>11</v>
      </c>
      <c r="B15" s="272" t="s">
        <v>1046</v>
      </c>
      <c r="C15" s="283"/>
    </row>
    <row r="16" spans="1:3" x14ac:dyDescent="0.3">
      <c r="A16" s="279">
        <v>12</v>
      </c>
      <c r="B16" s="272" t="s">
        <v>1007</v>
      </c>
      <c r="C16" s="276">
        <f>'berekening Wort'!G52</f>
        <v>72</v>
      </c>
    </row>
    <row r="17" spans="1:3" x14ac:dyDescent="0.3">
      <c r="A17" s="279">
        <v>13</v>
      </c>
      <c r="B17" s="272" t="s">
        <v>1020</v>
      </c>
      <c r="C17" s="285">
        <f>'berekening Wort'!G53</f>
        <v>20</v>
      </c>
    </row>
    <row r="18" spans="1:3" ht="28.5" x14ac:dyDescent="0.3">
      <c r="A18" s="279">
        <v>14</v>
      </c>
      <c r="B18" s="272" t="s">
        <v>1010</v>
      </c>
      <c r="C18" s="283"/>
    </row>
    <row r="19" spans="1:3" x14ac:dyDescent="0.3">
      <c r="A19" s="279">
        <v>15</v>
      </c>
      <c r="B19" s="272" t="s">
        <v>1007</v>
      </c>
      <c r="C19" s="276">
        <f>'berekening Wort'!H52</f>
        <v>78</v>
      </c>
    </row>
    <row r="20" spans="1:3" x14ac:dyDescent="0.3">
      <c r="A20" s="279">
        <v>16</v>
      </c>
      <c r="B20" s="273" t="s">
        <v>1011</v>
      </c>
      <c r="C20" s="283"/>
    </row>
    <row r="21" spans="1:3" x14ac:dyDescent="0.3">
      <c r="A21" s="279">
        <v>17</v>
      </c>
      <c r="B21" s="272" t="s">
        <v>1020</v>
      </c>
      <c r="C21" s="285">
        <f>'berekening Wort'!H53</f>
        <v>5</v>
      </c>
    </row>
    <row r="22" spans="1:3" x14ac:dyDescent="0.3">
      <c r="A22" s="279">
        <v>19</v>
      </c>
      <c r="B22" s="273" t="s">
        <v>1012</v>
      </c>
      <c r="C22" s="285">
        <f>'berekening Wort'!D45</f>
        <v>60</v>
      </c>
    </row>
    <row r="23" spans="1:3" x14ac:dyDescent="0.3">
      <c r="A23" s="279">
        <v>20</v>
      </c>
      <c r="B23" s="273" t="s">
        <v>1047</v>
      </c>
      <c r="C23" s="285">
        <f>'berekening Wort'!E45</f>
        <v>0</v>
      </c>
    </row>
    <row r="24" spans="1:3" x14ac:dyDescent="0.3">
      <c r="A24" s="279">
        <v>21</v>
      </c>
      <c r="B24" s="273" t="s">
        <v>1013</v>
      </c>
      <c r="C24" s="283"/>
    </row>
    <row r="25" spans="1:3" x14ac:dyDescent="0.3">
      <c r="A25" s="279">
        <v>22</v>
      </c>
      <c r="B25" s="273" t="s">
        <v>1014</v>
      </c>
      <c r="C25" s="283"/>
    </row>
    <row r="26" spans="1:3" x14ac:dyDescent="0.3">
      <c r="A26" s="279">
        <v>23</v>
      </c>
      <c r="B26" s="273" t="str">
        <f>CONCATENATE('berekening Wort'!A27," gram ",'berekening Wort'!C27," mee koken gedurende")</f>
        <v>28 gram Hallertau perle (D) mee koken gedurende</v>
      </c>
      <c r="C26" s="285">
        <f>'berekening Wort'!E27</f>
        <v>75</v>
      </c>
    </row>
    <row r="27" spans="1:3" x14ac:dyDescent="0.3">
      <c r="A27" s="279">
        <v>24</v>
      </c>
      <c r="B27" s="273" t="str">
        <f>CONCATENATE('berekening Wort'!A28," gram ",'berekening Wort'!C28," mee koken gedurende")</f>
        <v>10 gram Hallertau mittelfrüh (D) mee koken gedurende</v>
      </c>
      <c r="C27" s="285">
        <f>'berekening Wort'!E28</f>
        <v>1</v>
      </c>
    </row>
    <row r="28" spans="1:3" x14ac:dyDescent="0.3">
      <c r="A28" s="279">
        <v>25</v>
      </c>
      <c r="B28" s="273" t="str">
        <f>CONCATENATE('berekening Wort'!A29," gram ",'berekening Wort'!C29," mee koken gedurende")</f>
        <v>0 gram - mee koken gedurende</v>
      </c>
      <c r="C28" s="285">
        <f>'berekening Wort'!E29</f>
        <v>0</v>
      </c>
    </row>
    <row r="29" spans="1:3" x14ac:dyDescent="0.3">
      <c r="A29" s="279">
        <v>26</v>
      </c>
      <c r="B29" s="273" t="str">
        <f>CONCATENATE('berekening Wort'!A30," gram ",'berekening Wort'!C30," mee koken gedurende")</f>
        <v>0 gram - mee koken gedurende</v>
      </c>
      <c r="C29" s="285">
        <f>'berekening Wort'!E30</f>
        <v>0</v>
      </c>
    </row>
    <row r="30" spans="1:3" x14ac:dyDescent="0.3">
      <c r="A30" s="279">
        <v>27</v>
      </c>
      <c r="B30" s="273" t="str">
        <f>CONCATENATE('berekening Wort'!A31," gram ",'berekening Wort'!C31," mee koken gedurende")</f>
        <v>0 gram - mee koken gedurende</v>
      </c>
      <c r="C30" s="285">
        <f>'berekening Wort'!E31</f>
        <v>0</v>
      </c>
    </row>
    <row r="31" spans="1:3" x14ac:dyDescent="0.3">
      <c r="A31" s="279">
        <v>28</v>
      </c>
      <c r="B31" s="273" t="s">
        <v>1072</v>
      </c>
      <c r="C31" s="285">
        <f>'berekening Wort'!E32</f>
        <v>0</v>
      </c>
    </row>
    <row r="32" spans="1:3" x14ac:dyDescent="0.3">
      <c r="A32" s="279">
        <v>29</v>
      </c>
      <c r="B32" s="273" t="str">
        <f>CONCATENATE('berekening Wort'!A41," gram ",'berekening Wort'!C41," mee koken gedurende")</f>
        <v xml:space="preserve"> gram - mee koken gedurende</v>
      </c>
      <c r="C32" s="285">
        <f>'berekening Wort'!E33</f>
        <v>0</v>
      </c>
    </row>
    <row r="33" spans="1:3" x14ac:dyDescent="0.3">
      <c r="A33" s="279">
        <v>30</v>
      </c>
      <c r="B33" s="273" t="str">
        <f>CONCATENATE('berekening Wort'!A42," gram ",'berekening Wort'!C42," mee koken gedurende")</f>
        <v xml:space="preserve"> gram - mee koken gedurende</v>
      </c>
      <c r="C33" s="285">
        <f>'berekening Wort'!E34</f>
        <v>0</v>
      </c>
    </row>
    <row r="34" spans="1:3" ht="32.25" customHeight="1" x14ac:dyDescent="0.3">
      <c r="A34" s="279">
        <v>31</v>
      </c>
      <c r="B34" s="274"/>
      <c r="C34" s="283"/>
    </row>
    <row r="35" spans="1:3" x14ac:dyDescent="0.3">
      <c r="A35" s="279">
        <v>32</v>
      </c>
      <c r="B35" s="273" t="s">
        <v>1067</v>
      </c>
      <c r="C35" s="283"/>
    </row>
    <row r="36" spans="1:3" ht="20.25" customHeight="1" x14ac:dyDescent="0.3">
      <c r="A36" s="279">
        <v>33</v>
      </c>
      <c r="B36" s="273" t="s">
        <v>1016</v>
      </c>
      <c r="C36" s="327">
        <v>10</v>
      </c>
    </row>
    <row r="37" spans="1:3" x14ac:dyDescent="0.3">
      <c r="A37" s="279">
        <v>34</v>
      </c>
      <c r="B37" s="273" t="s">
        <v>1015</v>
      </c>
      <c r="C37" s="283"/>
    </row>
    <row r="38" spans="1:3" x14ac:dyDescent="0.3">
      <c r="A38" s="279">
        <v>35</v>
      </c>
      <c r="B38" s="273" t="s">
        <v>1019</v>
      </c>
      <c r="C38" s="285">
        <f>'berekening Wort'!K53</f>
        <v>40</v>
      </c>
    </row>
    <row r="39" spans="1:3" ht="30" x14ac:dyDescent="0.3">
      <c r="A39" s="279">
        <v>36</v>
      </c>
      <c r="B39" s="273" t="s">
        <v>1068</v>
      </c>
      <c r="C39" s="283"/>
    </row>
    <row r="40" spans="1:3" x14ac:dyDescent="0.3">
      <c r="A40" s="279">
        <v>37</v>
      </c>
      <c r="B40" s="273" t="s">
        <v>1069</v>
      </c>
      <c r="C40" s="327">
        <v>10</v>
      </c>
    </row>
    <row r="41" spans="1:3" x14ac:dyDescent="0.3">
      <c r="A41" s="279">
        <v>38</v>
      </c>
      <c r="B41" s="273" t="s">
        <v>1033</v>
      </c>
      <c r="C41" s="328"/>
    </row>
    <row r="42" spans="1:3" x14ac:dyDescent="0.3">
      <c r="A42" s="279">
        <v>39</v>
      </c>
      <c r="B42" s="273" t="s">
        <v>1018</v>
      </c>
      <c r="C42" s="283"/>
    </row>
    <row r="43" spans="1:3" x14ac:dyDescent="0.3">
      <c r="A43" s="279">
        <v>40</v>
      </c>
      <c r="B43" s="273" t="s">
        <v>1017</v>
      </c>
      <c r="C43" s="286" t="str">
        <f>'berekening Wort'!D47</f>
        <v>24-26</v>
      </c>
    </row>
    <row r="44" spans="1:3" x14ac:dyDescent="0.3">
      <c r="A44" s="279">
        <v>41</v>
      </c>
      <c r="B44" s="273" t="s">
        <v>1070</v>
      </c>
      <c r="C44" s="283"/>
    </row>
    <row r="45" spans="1:3" x14ac:dyDescent="0.3">
      <c r="A45" s="279">
        <v>42</v>
      </c>
      <c r="B45" s="273" t="s">
        <v>1076</v>
      </c>
      <c r="C45" s="286" t="str">
        <f>'berekening Wort'!D47</f>
        <v>24-26</v>
      </c>
    </row>
    <row r="46" spans="1:3" x14ac:dyDescent="0.3">
      <c r="A46" s="279">
        <v>43</v>
      </c>
      <c r="B46" s="273" t="s">
        <v>1021</v>
      </c>
      <c r="C46" s="276">
        <f>'berekening Wort'!D50</f>
        <v>15</v>
      </c>
    </row>
    <row r="47" spans="1:3" x14ac:dyDescent="0.3">
      <c r="A47" s="279">
        <v>44</v>
      </c>
      <c r="B47" s="273" t="s">
        <v>1030</v>
      </c>
      <c r="C47" s="283"/>
    </row>
    <row r="48" spans="1:3" x14ac:dyDescent="0.3">
      <c r="A48" s="279">
        <v>45</v>
      </c>
      <c r="B48" s="273" t="s">
        <v>1032</v>
      </c>
      <c r="C48" s="329"/>
    </row>
    <row r="49" spans="1:3" ht="30" x14ac:dyDescent="0.3">
      <c r="A49" s="279">
        <v>46</v>
      </c>
      <c r="B49" s="273" t="s">
        <v>1071</v>
      </c>
      <c r="C49" s="283"/>
    </row>
    <row r="50" spans="1:3" x14ac:dyDescent="0.3">
      <c r="A50" s="279">
        <v>47</v>
      </c>
      <c r="B50" s="273" t="s">
        <v>1022</v>
      </c>
      <c r="C50" s="283"/>
    </row>
    <row r="51" spans="1:3" x14ac:dyDescent="0.3">
      <c r="A51" s="279">
        <v>48</v>
      </c>
      <c r="B51" s="273" t="s">
        <v>1023</v>
      </c>
      <c r="C51" s="283"/>
    </row>
    <row r="52" spans="1:3" x14ac:dyDescent="0.3">
      <c r="A52" s="279">
        <v>49</v>
      </c>
      <c r="B52" s="275" t="s">
        <v>1073</v>
      </c>
      <c r="C52" s="283"/>
    </row>
    <row r="53" spans="1:3" x14ac:dyDescent="0.3">
      <c r="A53" s="279">
        <v>50</v>
      </c>
      <c r="B53" s="275" t="s">
        <v>1024</v>
      </c>
      <c r="C53" s="283"/>
    </row>
    <row r="54" spans="1:3" x14ac:dyDescent="0.3">
      <c r="A54" s="279">
        <v>51</v>
      </c>
      <c r="B54" s="275" t="s">
        <v>1074</v>
      </c>
      <c r="C54" s="277" t="s">
        <v>1025</v>
      </c>
    </row>
    <row r="55" spans="1:3" x14ac:dyDescent="0.3">
      <c r="A55" s="279">
        <v>52</v>
      </c>
      <c r="B55" s="275" t="s">
        <v>1075</v>
      </c>
      <c r="C55" s="330"/>
    </row>
    <row r="56" spans="1:3" x14ac:dyDescent="0.3">
      <c r="A56" s="279">
        <v>53</v>
      </c>
      <c r="B56" s="275" t="s">
        <v>1026</v>
      </c>
      <c r="C56" s="277" t="s">
        <v>1027</v>
      </c>
    </row>
    <row r="57" spans="1:3" ht="15.75" thickBot="1" x14ac:dyDescent="0.35">
      <c r="A57" s="279">
        <v>54</v>
      </c>
      <c r="B57" s="282" t="s">
        <v>1028</v>
      </c>
      <c r="C57" s="287"/>
    </row>
    <row r="58" spans="1:3" x14ac:dyDescent="0.3">
      <c r="C58" s="271"/>
    </row>
    <row r="59" spans="1:3" x14ac:dyDescent="0.3">
      <c r="C59" s="271"/>
    </row>
    <row r="60" spans="1:3" x14ac:dyDescent="0.3">
      <c r="C60" s="271"/>
    </row>
    <row r="61" spans="1:3" x14ac:dyDescent="0.3">
      <c r="C61" s="271"/>
    </row>
    <row r="62" spans="1:3" x14ac:dyDescent="0.3">
      <c r="C62" s="271"/>
    </row>
    <row r="63" spans="1:3" x14ac:dyDescent="0.3">
      <c r="C63" s="271"/>
    </row>
    <row r="64" spans="1:3" x14ac:dyDescent="0.3">
      <c r="C64" s="271"/>
    </row>
    <row r="65" spans="3:3" x14ac:dyDescent="0.3">
      <c r="C65" s="271"/>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topLeftCell="A6" workbookViewId="0">
      <selection activeCell="G6" sqref="G6"/>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2" t="s">
        <v>1055</v>
      </c>
      <c r="E2" s="572"/>
      <c r="F2" s="572"/>
      <c r="G2" s="572"/>
      <c r="H2" s="572"/>
      <c r="I2" s="572"/>
      <c r="J2" s="572"/>
      <c r="L2" s="86" t="s">
        <v>443</v>
      </c>
    </row>
    <row r="3" spans="2:12" ht="12.75" customHeight="1" x14ac:dyDescent="0.2"/>
    <row r="4" spans="2:12" ht="27" customHeight="1" x14ac:dyDescent="0.2">
      <c r="B4" s="87" t="s">
        <v>94</v>
      </c>
      <c r="C4" s="88">
        <f>'berekening Wort'!G4</f>
        <v>1061.9244028000001</v>
      </c>
      <c r="D4" s="573" t="s">
        <v>95</v>
      </c>
      <c r="E4" s="573"/>
      <c r="G4" s="574" t="s">
        <v>96</v>
      </c>
      <c r="H4" s="574"/>
      <c r="I4" s="574"/>
      <c r="J4" s="574"/>
      <c r="K4" s="574"/>
      <c r="L4" s="574"/>
    </row>
    <row r="5" spans="2:12" ht="27" customHeight="1" x14ac:dyDescent="0.4">
      <c r="B5" s="89" t="s">
        <v>97</v>
      </c>
      <c r="C5" s="90">
        <f>(C4-1000)/4</f>
        <v>15.481100700000013</v>
      </c>
      <c r="D5" s="573"/>
      <c r="E5" s="573"/>
      <c r="G5" s="574"/>
      <c r="H5" s="574"/>
      <c r="I5" s="574"/>
      <c r="J5" s="574"/>
      <c r="K5" s="574"/>
      <c r="L5" s="574"/>
    </row>
    <row r="6" spans="2:12" ht="15" x14ac:dyDescent="0.2">
      <c r="B6" s="250" t="s">
        <v>98</v>
      </c>
      <c r="C6" s="91" t="s">
        <v>99</v>
      </c>
      <c r="D6" s="91" t="s">
        <v>100</v>
      </c>
      <c r="E6" s="92" t="s">
        <v>101</v>
      </c>
    </row>
    <row r="7" spans="2:12" ht="16.5" x14ac:dyDescent="0.35">
      <c r="B7" s="96">
        <v>0</v>
      </c>
      <c r="C7" s="93">
        <f t="shared" ref="C7:C22" si="0">$C$5*(1-B7)</f>
        <v>15.481100700000013</v>
      </c>
      <c r="D7" s="94">
        <f t="shared" ref="D7:D22" si="1">(C7+0.425*0.51*B7*$C$5)</f>
        <v>15.481100700000013</v>
      </c>
      <c r="E7" s="95">
        <f t="shared" ref="E7:E22" si="2">0.51*B7*$C$5/0.789</f>
        <v>0</v>
      </c>
      <c r="G7" s="575" t="s">
        <v>102</v>
      </c>
      <c r="H7" s="575"/>
      <c r="I7" s="575"/>
      <c r="J7" s="575"/>
      <c r="K7" s="575"/>
      <c r="L7" s="575"/>
    </row>
    <row r="8" spans="2:12" ht="16.5" x14ac:dyDescent="0.35">
      <c r="B8" s="96">
        <v>0.1</v>
      </c>
      <c r="C8" s="97">
        <f t="shared" si="0"/>
        <v>13.932990630000011</v>
      </c>
      <c r="D8" s="98">
        <f t="shared" si="1"/>
        <v>14.268543487672511</v>
      </c>
      <c r="E8" s="99">
        <f t="shared" si="2"/>
        <v>1.0006795129277575</v>
      </c>
    </row>
    <row r="9" spans="2:12" ht="16.5" x14ac:dyDescent="0.35">
      <c r="B9" s="96">
        <v>0.2</v>
      </c>
      <c r="C9" s="97">
        <f t="shared" si="0"/>
        <v>12.384880560000012</v>
      </c>
      <c r="D9" s="98">
        <f t="shared" si="1"/>
        <v>13.055986275345012</v>
      </c>
      <c r="E9" s="99">
        <f t="shared" si="2"/>
        <v>2.001359025855515</v>
      </c>
    </row>
    <row r="10" spans="2:12" ht="16.5" x14ac:dyDescent="0.35">
      <c r="B10" s="96">
        <v>0.3</v>
      </c>
      <c r="C10" s="97">
        <f t="shared" si="0"/>
        <v>10.836770490000008</v>
      </c>
      <c r="D10" s="98">
        <f t="shared" si="1"/>
        <v>11.84342906301751</v>
      </c>
      <c r="E10" s="99">
        <f t="shared" si="2"/>
        <v>3.002038538783272</v>
      </c>
    </row>
    <row r="11" spans="2:12" ht="16.5" x14ac:dyDescent="0.35">
      <c r="B11" s="96">
        <v>0.4</v>
      </c>
      <c r="C11" s="97">
        <f t="shared" si="0"/>
        <v>9.2886604200000082</v>
      </c>
      <c r="D11" s="98">
        <f t="shared" si="1"/>
        <v>10.63087185069001</v>
      </c>
      <c r="E11" s="99">
        <f t="shared" si="2"/>
        <v>4.0027180517110299</v>
      </c>
    </row>
    <row r="12" spans="2:12" ht="16.5" x14ac:dyDescent="0.35">
      <c r="B12" s="96">
        <v>0.5</v>
      </c>
      <c r="C12" s="97">
        <f t="shared" si="0"/>
        <v>7.7405503500000066</v>
      </c>
      <c r="D12" s="98">
        <f t="shared" si="1"/>
        <v>9.4183146383625083</v>
      </c>
      <c r="E12" s="99">
        <f t="shared" si="2"/>
        <v>5.0033975646387869</v>
      </c>
    </row>
    <row r="13" spans="2:12" ht="16.5" x14ac:dyDescent="0.35">
      <c r="B13" s="96">
        <v>0.6</v>
      </c>
      <c r="C13" s="97">
        <f t="shared" si="0"/>
        <v>6.1924402800000058</v>
      </c>
      <c r="D13" s="98">
        <f t="shared" si="1"/>
        <v>8.2057574260350066</v>
      </c>
      <c r="E13" s="99">
        <f t="shared" si="2"/>
        <v>6.004077077566544</v>
      </c>
    </row>
    <row r="14" spans="2:12" ht="16.5" x14ac:dyDescent="0.35">
      <c r="B14" s="96">
        <v>0.62</v>
      </c>
      <c r="C14" s="97">
        <f t="shared" si="0"/>
        <v>5.8828182660000055</v>
      </c>
      <c r="D14" s="98">
        <f t="shared" si="1"/>
        <v>7.9632459835695073</v>
      </c>
      <c r="E14" s="99">
        <f t="shared" si="2"/>
        <v>6.2042129801520955</v>
      </c>
    </row>
    <row r="15" spans="2:12" ht="16.5" x14ac:dyDescent="0.35">
      <c r="B15" s="96">
        <v>0.63</v>
      </c>
      <c r="C15" s="97">
        <f t="shared" si="0"/>
        <v>5.7280072590000044</v>
      </c>
      <c r="D15" s="98">
        <f t="shared" si="1"/>
        <v>7.8419902623367559</v>
      </c>
      <c r="E15" s="99">
        <f t="shared" si="2"/>
        <v>6.3042809314448727</v>
      </c>
    </row>
    <row r="16" spans="2:12" ht="16.5" x14ac:dyDescent="0.35">
      <c r="B16" s="96">
        <v>0.64</v>
      </c>
      <c r="C16" s="97">
        <f t="shared" si="0"/>
        <v>5.5731962520000042</v>
      </c>
      <c r="D16" s="98">
        <f t="shared" si="1"/>
        <v>7.7207345411040063</v>
      </c>
      <c r="E16" s="99">
        <f t="shared" si="2"/>
        <v>6.404348882737648</v>
      </c>
    </row>
    <row r="17" spans="2:5" ht="16.5" x14ac:dyDescent="0.35">
      <c r="B17" s="96">
        <v>0.65</v>
      </c>
      <c r="C17" s="97">
        <f t="shared" si="0"/>
        <v>5.4183852450000041</v>
      </c>
      <c r="D17" s="98">
        <f t="shared" si="1"/>
        <v>7.5994788198712557</v>
      </c>
      <c r="E17" s="99">
        <f t="shared" si="2"/>
        <v>6.5044168340304243</v>
      </c>
    </row>
    <row r="18" spans="2:5" ht="16.5" x14ac:dyDescent="0.35">
      <c r="B18" s="96">
        <v>0.66</v>
      </c>
      <c r="C18" s="97">
        <f t="shared" si="0"/>
        <v>5.2635742380000039</v>
      </c>
      <c r="D18" s="98">
        <f t="shared" si="1"/>
        <v>7.4782230986385061</v>
      </c>
      <c r="E18" s="99">
        <f t="shared" si="2"/>
        <v>6.6044847853231987</v>
      </c>
    </row>
    <row r="19" spans="2:5" ht="16.5" x14ac:dyDescent="0.35">
      <c r="B19" s="182">
        <v>0.67</v>
      </c>
      <c r="C19" s="183">
        <f t="shared" si="0"/>
        <v>5.1087632310000037</v>
      </c>
      <c r="D19" s="184">
        <f t="shared" si="1"/>
        <v>7.3569673774057556</v>
      </c>
      <c r="E19" s="185">
        <f t="shared" si="2"/>
        <v>6.704552736615975</v>
      </c>
    </row>
    <row r="20" spans="2:5" ht="16.5" x14ac:dyDescent="0.35">
      <c r="B20" s="96">
        <v>0.68</v>
      </c>
      <c r="C20" s="97">
        <f t="shared" si="0"/>
        <v>4.9539522240000036</v>
      </c>
      <c r="D20" s="98">
        <f t="shared" si="1"/>
        <v>7.2357116561730059</v>
      </c>
      <c r="E20" s="99">
        <f t="shared" si="2"/>
        <v>6.8046206879087512</v>
      </c>
    </row>
    <row r="21" spans="2:5" ht="16.5" x14ac:dyDescent="0.35">
      <c r="B21" s="96">
        <v>0.69</v>
      </c>
      <c r="C21" s="97">
        <f t="shared" si="0"/>
        <v>4.7991412170000052</v>
      </c>
      <c r="D21" s="98">
        <f t="shared" si="1"/>
        <v>7.1144559349402563</v>
      </c>
      <c r="E21" s="99">
        <f t="shared" si="2"/>
        <v>6.9046886392015265</v>
      </c>
    </row>
    <row r="22" spans="2:5" ht="16.5" x14ac:dyDescent="0.35">
      <c r="B22" s="100">
        <v>0.7</v>
      </c>
      <c r="C22" s="101">
        <f t="shared" si="0"/>
        <v>4.644330210000005</v>
      </c>
      <c r="D22" s="102">
        <f t="shared" si="1"/>
        <v>6.9932002137075067</v>
      </c>
      <c r="E22" s="103">
        <f t="shared" si="2"/>
        <v>7.0047565904943019</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5"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5"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3" firstPageNumber="0" orientation="landscape"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workbookViewId="0">
      <selection activeCell="N38" sqref="N38"/>
    </sheetView>
  </sheetViews>
  <sheetFormatPr defaultColWidth="9.140625" defaultRowHeight="16.5" x14ac:dyDescent="0.35"/>
  <cols>
    <col min="1" max="3" width="9.140625" style="371"/>
    <col min="4" max="16384" width="9.140625" style="121"/>
  </cols>
  <sheetData>
    <row r="1" spans="1:9" x14ac:dyDescent="0.35">
      <c r="A1" s="585" t="s">
        <v>103</v>
      </c>
      <c r="B1" s="586"/>
      <c r="C1" s="586"/>
      <c r="D1" s="586"/>
      <c r="E1" s="586"/>
      <c r="F1" s="586"/>
      <c r="G1" s="586"/>
      <c r="H1" s="586"/>
      <c r="I1" s="587"/>
    </row>
    <row r="2" spans="1:9" ht="12.95" customHeight="1" x14ac:dyDescent="0.3">
      <c r="A2" s="588" t="s">
        <v>947</v>
      </c>
      <c r="B2" s="589"/>
      <c r="C2" s="589"/>
      <c r="D2" s="589"/>
      <c r="E2" s="589"/>
      <c r="F2" s="589"/>
      <c r="G2" s="589"/>
      <c r="H2" s="589"/>
      <c r="I2" s="590"/>
    </row>
    <row r="3" spans="1:9" ht="26.25" customHeight="1" x14ac:dyDescent="0.3">
      <c r="A3" s="588"/>
      <c r="B3" s="589"/>
      <c r="C3" s="589"/>
      <c r="D3" s="589"/>
      <c r="E3" s="589"/>
      <c r="F3" s="589"/>
      <c r="G3" s="589"/>
      <c r="H3" s="589"/>
      <c r="I3" s="590"/>
    </row>
    <row r="4" spans="1:9" x14ac:dyDescent="0.35">
      <c r="A4" s="591" t="s">
        <v>104</v>
      </c>
      <c r="B4" s="592"/>
      <c r="C4" s="592"/>
      <c r="D4" s="592"/>
      <c r="E4" s="592"/>
      <c r="F4" s="592"/>
      <c r="G4" s="592"/>
      <c r="H4" s="592"/>
      <c r="I4" s="593"/>
    </row>
    <row r="5" spans="1:9" ht="15" x14ac:dyDescent="0.3">
      <c r="A5" s="594"/>
      <c r="B5" s="595"/>
      <c r="C5" s="595"/>
      <c r="D5" s="595"/>
      <c r="E5" s="595"/>
      <c r="F5" s="595"/>
      <c r="G5" s="595"/>
      <c r="H5" s="595"/>
      <c r="I5" s="596"/>
    </row>
    <row r="6" spans="1:9" ht="15" x14ac:dyDescent="0.3">
      <c r="A6" s="582"/>
      <c r="B6" s="583"/>
      <c r="C6" s="583"/>
      <c r="D6" s="583"/>
      <c r="E6" s="583"/>
      <c r="F6" s="583"/>
      <c r="G6" s="583"/>
      <c r="H6" s="583"/>
      <c r="I6" s="584"/>
    </row>
    <row r="7" spans="1:9" ht="15" x14ac:dyDescent="0.3">
      <c r="A7" s="582"/>
      <c r="B7" s="583"/>
      <c r="C7" s="583"/>
      <c r="D7" s="583"/>
      <c r="E7" s="583"/>
      <c r="F7" s="583"/>
      <c r="G7" s="583"/>
      <c r="H7" s="583"/>
      <c r="I7" s="584"/>
    </row>
    <row r="8" spans="1:9" ht="15" x14ac:dyDescent="0.3">
      <c r="A8" s="582"/>
      <c r="B8" s="583"/>
      <c r="C8" s="583"/>
      <c r="D8" s="583"/>
      <c r="E8" s="583"/>
      <c r="F8" s="583"/>
      <c r="G8" s="583"/>
      <c r="H8" s="583"/>
      <c r="I8" s="584"/>
    </row>
    <row r="9" spans="1:9" ht="15" x14ac:dyDescent="0.3">
      <c r="A9" s="582"/>
      <c r="B9" s="583"/>
      <c r="C9" s="583"/>
      <c r="D9" s="583"/>
      <c r="E9" s="583"/>
      <c r="F9" s="583"/>
      <c r="G9" s="583"/>
      <c r="H9" s="583"/>
      <c r="I9" s="584"/>
    </row>
    <row r="10" spans="1:9" ht="15" x14ac:dyDescent="0.3">
      <c r="A10" s="582"/>
      <c r="B10" s="583"/>
      <c r="C10" s="583"/>
      <c r="D10" s="583"/>
      <c r="E10" s="583"/>
      <c r="F10" s="583"/>
      <c r="G10" s="583"/>
      <c r="H10" s="583"/>
      <c r="I10" s="584"/>
    </row>
    <row r="11" spans="1:9" ht="15" x14ac:dyDescent="0.3">
      <c r="A11" s="582"/>
      <c r="B11" s="583"/>
      <c r="C11" s="583"/>
      <c r="D11" s="583"/>
      <c r="E11" s="583"/>
      <c r="F11" s="583"/>
      <c r="G11" s="583"/>
      <c r="H11" s="583"/>
      <c r="I11" s="584"/>
    </row>
    <row r="12" spans="1:9" x14ac:dyDescent="0.3">
      <c r="A12" s="576" t="s">
        <v>885</v>
      </c>
      <c r="B12" s="577"/>
      <c r="C12" s="577"/>
      <c r="D12" s="577"/>
      <c r="E12" s="577"/>
      <c r="F12" s="577"/>
      <c r="G12" s="577"/>
      <c r="H12" s="577"/>
      <c r="I12" s="578"/>
    </row>
    <row r="13" spans="1:9" ht="15" customHeight="1" x14ac:dyDescent="0.3">
      <c r="A13" s="579"/>
      <c r="B13" s="580"/>
      <c r="C13" s="580"/>
      <c r="D13" s="580"/>
      <c r="E13" s="580"/>
      <c r="F13" s="580"/>
      <c r="G13" s="580"/>
      <c r="H13" s="580"/>
      <c r="I13" s="581"/>
    </row>
    <row r="14" spans="1:9" ht="15" customHeight="1" x14ac:dyDescent="0.3">
      <c r="A14" s="582"/>
      <c r="B14" s="583"/>
      <c r="C14" s="583"/>
      <c r="D14" s="583"/>
      <c r="E14" s="583"/>
      <c r="F14" s="583"/>
      <c r="G14" s="583"/>
      <c r="H14" s="583"/>
      <c r="I14" s="584"/>
    </row>
    <row r="15" spans="1:9" ht="15" customHeight="1" x14ac:dyDescent="0.3">
      <c r="A15" s="582"/>
      <c r="B15" s="583"/>
      <c r="C15" s="583"/>
      <c r="D15" s="583"/>
      <c r="E15" s="583"/>
      <c r="F15" s="583"/>
      <c r="G15" s="583"/>
      <c r="H15" s="583"/>
      <c r="I15" s="584"/>
    </row>
    <row r="16" spans="1:9" ht="15" customHeight="1" x14ac:dyDescent="0.3">
      <c r="A16" s="582"/>
      <c r="B16" s="583"/>
      <c r="C16" s="583"/>
      <c r="D16" s="583"/>
      <c r="E16" s="583"/>
      <c r="F16" s="583"/>
      <c r="G16" s="583"/>
      <c r="H16" s="583"/>
      <c r="I16" s="584"/>
    </row>
    <row r="17" spans="1:9" ht="15" customHeight="1" x14ac:dyDescent="0.3">
      <c r="A17" s="582"/>
      <c r="B17" s="583"/>
      <c r="C17" s="583"/>
      <c r="D17" s="583"/>
      <c r="E17" s="583"/>
      <c r="F17" s="583"/>
      <c r="G17" s="583"/>
      <c r="H17" s="583"/>
      <c r="I17" s="584"/>
    </row>
    <row r="18" spans="1:9" ht="15" customHeight="1" x14ac:dyDescent="0.3">
      <c r="A18" s="582"/>
      <c r="B18" s="583"/>
      <c r="C18" s="583"/>
      <c r="D18" s="583"/>
      <c r="E18" s="583"/>
      <c r="F18" s="583"/>
      <c r="G18" s="583"/>
      <c r="H18" s="583"/>
      <c r="I18" s="584"/>
    </row>
    <row r="19" spans="1:9" ht="15" customHeight="1" x14ac:dyDescent="0.3">
      <c r="A19" s="582"/>
      <c r="B19" s="583"/>
      <c r="C19" s="583"/>
      <c r="D19" s="583"/>
      <c r="E19" s="583"/>
      <c r="F19" s="583"/>
      <c r="G19" s="583"/>
      <c r="H19" s="583"/>
      <c r="I19" s="584"/>
    </row>
    <row r="20" spans="1:9" ht="15" customHeight="1" x14ac:dyDescent="0.3">
      <c r="A20" s="576" t="s">
        <v>886</v>
      </c>
      <c r="B20" s="577"/>
      <c r="C20" s="577"/>
      <c r="D20" s="577"/>
      <c r="E20" s="577"/>
      <c r="F20" s="577"/>
      <c r="G20" s="577"/>
      <c r="H20" s="577"/>
      <c r="I20" s="578"/>
    </row>
    <row r="21" spans="1:9" ht="15" customHeight="1" x14ac:dyDescent="0.3">
      <c r="A21" s="579"/>
      <c r="B21" s="580"/>
      <c r="C21" s="580"/>
      <c r="D21" s="580"/>
      <c r="E21" s="580"/>
      <c r="F21" s="580"/>
      <c r="G21" s="580"/>
      <c r="H21" s="580"/>
      <c r="I21" s="581"/>
    </row>
    <row r="22" spans="1:9" ht="15" customHeight="1" x14ac:dyDescent="0.3">
      <c r="A22" s="582"/>
      <c r="B22" s="583"/>
      <c r="C22" s="583"/>
      <c r="D22" s="583"/>
      <c r="E22" s="583"/>
      <c r="F22" s="583"/>
      <c r="G22" s="583"/>
      <c r="H22" s="583"/>
      <c r="I22" s="584"/>
    </row>
    <row r="23" spans="1:9" ht="15" customHeight="1" x14ac:dyDescent="0.3">
      <c r="A23" s="582"/>
      <c r="B23" s="583"/>
      <c r="C23" s="583"/>
      <c r="D23" s="583"/>
      <c r="E23" s="583"/>
      <c r="F23" s="583"/>
      <c r="G23" s="583"/>
      <c r="H23" s="583"/>
      <c r="I23" s="584"/>
    </row>
    <row r="24" spans="1:9" ht="15" customHeight="1" x14ac:dyDescent="0.3">
      <c r="A24" s="582"/>
      <c r="B24" s="583"/>
      <c r="C24" s="583"/>
      <c r="D24" s="583"/>
      <c r="E24" s="583"/>
      <c r="F24" s="583"/>
      <c r="G24" s="583"/>
      <c r="H24" s="583"/>
      <c r="I24" s="584"/>
    </row>
    <row r="25" spans="1:9" ht="15" customHeight="1" x14ac:dyDescent="0.3">
      <c r="A25" s="582"/>
      <c r="B25" s="583"/>
      <c r="C25" s="583"/>
      <c r="D25" s="583"/>
      <c r="E25" s="583"/>
      <c r="F25" s="583"/>
      <c r="G25" s="583"/>
      <c r="H25" s="583"/>
      <c r="I25" s="584"/>
    </row>
    <row r="26" spans="1:9" ht="15" customHeight="1" x14ac:dyDescent="0.3">
      <c r="A26" s="582"/>
      <c r="B26" s="583"/>
      <c r="C26" s="583"/>
      <c r="D26" s="583"/>
      <c r="E26" s="583"/>
      <c r="F26" s="583"/>
      <c r="G26" s="583"/>
      <c r="H26" s="583"/>
      <c r="I26" s="584"/>
    </row>
    <row r="27" spans="1:9" ht="15" customHeight="1" x14ac:dyDescent="0.3">
      <c r="A27" s="582"/>
      <c r="B27" s="583"/>
      <c r="C27" s="583"/>
      <c r="D27" s="583"/>
      <c r="E27" s="583"/>
      <c r="F27" s="583"/>
      <c r="G27" s="583"/>
      <c r="H27" s="583"/>
      <c r="I27" s="584"/>
    </row>
    <row r="28" spans="1:9" x14ac:dyDescent="0.35">
      <c r="A28" s="591" t="s">
        <v>105</v>
      </c>
      <c r="B28" s="592"/>
      <c r="C28" s="592"/>
      <c r="D28" s="592"/>
      <c r="E28" s="592"/>
      <c r="F28" s="592"/>
      <c r="G28" s="592"/>
      <c r="H28" s="592"/>
      <c r="I28" s="593"/>
    </row>
    <row r="29" spans="1:9" ht="15" x14ac:dyDescent="0.3">
      <c r="A29" s="594"/>
      <c r="B29" s="595"/>
      <c r="C29" s="595"/>
      <c r="D29" s="595"/>
      <c r="E29" s="595"/>
      <c r="F29" s="595"/>
      <c r="G29" s="595"/>
      <c r="H29" s="595"/>
      <c r="I29" s="596"/>
    </row>
    <row r="30" spans="1:9" ht="15" x14ac:dyDescent="0.3">
      <c r="A30" s="582"/>
      <c r="B30" s="583"/>
      <c r="C30" s="583"/>
      <c r="D30" s="583"/>
      <c r="E30" s="583"/>
      <c r="F30" s="583"/>
      <c r="G30" s="583"/>
      <c r="H30" s="583"/>
      <c r="I30" s="584"/>
    </row>
    <row r="31" spans="1:9" ht="15" x14ac:dyDescent="0.3">
      <c r="A31" s="582"/>
      <c r="B31" s="583"/>
      <c r="C31" s="583"/>
      <c r="D31" s="583"/>
      <c r="E31" s="583"/>
      <c r="F31" s="583"/>
      <c r="G31" s="583"/>
      <c r="H31" s="583"/>
      <c r="I31" s="584"/>
    </row>
    <row r="32" spans="1:9" ht="15" x14ac:dyDescent="0.3">
      <c r="A32" s="582"/>
      <c r="B32" s="583"/>
      <c r="C32" s="583"/>
      <c r="D32" s="583"/>
      <c r="E32" s="583"/>
      <c r="F32" s="583"/>
      <c r="G32" s="583"/>
      <c r="H32" s="583"/>
      <c r="I32" s="584"/>
    </row>
    <row r="33" spans="1:9" ht="15" x14ac:dyDescent="0.3">
      <c r="A33" s="582"/>
      <c r="B33" s="583"/>
      <c r="C33" s="583"/>
      <c r="D33" s="583"/>
      <c r="E33" s="583"/>
      <c r="F33" s="583"/>
      <c r="G33" s="583"/>
      <c r="H33" s="583"/>
      <c r="I33" s="584"/>
    </row>
    <row r="34" spans="1:9" ht="15" x14ac:dyDescent="0.3">
      <c r="A34" s="582"/>
      <c r="B34" s="583"/>
      <c r="C34" s="583"/>
      <c r="D34" s="583"/>
      <c r="E34" s="583"/>
      <c r="F34" s="583"/>
      <c r="G34" s="583"/>
      <c r="H34" s="583"/>
      <c r="I34" s="584"/>
    </row>
    <row r="35" spans="1:9" ht="15" x14ac:dyDescent="0.3">
      <c r="A35" s="582"/>
      <c r="B35" s="583"/>
      <c r="C35" s="583"/>
      <c r="D35" s="583"/>
      <c r="E35" s="583"/>
      <c r="F35" s="583"/>
      <c r="G35" s="583"/>
      <c r="H35" s="583"/>
      <c r="I35" s="584"/>
    </row>
    <row r="36" spans="1:9" x14ac:dyDescent="0.35">
      <c r="A36" s="591" t="s">
        <v>106</v>
      </c>
      <c r="B36" s="592"/>
      <c r="C36" s="592"/>
      <c r="D36" s="592"/>
      <c r="E36" s="592"/>
      <c r="F36" s="592"/>
      <c r="G36" s="592"/>
      <c r="H36" s="592"/>
      <c r="I36" s="593"/>
    </row>
    <row r="37" spans="1:9" ht="15" x14ac:dyDescent="0.3">
      <c r="A37" s="594"/>
      <c r="B37" s="595"/>
      <c r="C37" s="595"/>
      <c r="D37" s="595"/>
      <c r="E37" s="595"/>
      <c r="F37" s="595"/>
      <c r="G37" s="595"/>
      <c r="H37" s="595"/>
      <c r="I37" s="596"/>
    </row>
    <row r="38" spans="1:9" ht="15" x14ac:dyDescent="0.3">
      <c r="A38" s="582"/>
      <c r="B38" s="583"/>
      <c r="C38" s="583"/>
      <c r="D38" s="583"/>
      <c r="E38" s="583"/>
      <c r="F38" s="583"/>
      <c r="G38" s="583"/>
      <c r="H38" s="583"/>
      <c r="I38" s="584"/>
    </row>
    <row r="39" spans="1:9" ht="15" x14ac:dyDescent="0.3">
      <c r="A39" s="582"/>
      <c r="B39" s="583"/>
      <c r="C39" s="583"/>
      <c r="D39" s="583"/>
      <c r="E39" s="583"/>
      <c r="F39" s="583"/>
      <c r="G39" s="583"/>
      <c r="H39" s="583"/>
      <c r="I39" s="584"/>
    </row>
    <row r="40" spans="1:9" ht="12" customHeight="1" x14ac:dyDescent="0.3">
      <c r="A40" s="582"/>
      <c r="B40" s="583"/>
      <c r="C40" s="583"/>
      <c r="D40" s="583"/>
      <c r="E40" s="583"/>
      <c r="F40" s="583"/>
      <c r="G40" s="583"/>
      <c r="H40" s="583"/>
      <c r="I40" s="584"/>
    </row>
    <row r="41" spans="1:9" ht="15" x14ac:dyDescent="0.3">
      <c r="A41" s="582"/>
      <c r="B41" s="583"/>
      <c r="C41" s="583"/>
      <c r="D41" s="583"/>
      <c r="E41" s="583"/>
      <c r="F41" s="583"/>
      <c r="G41" s="583"/>
      <c r="H41" s="583"/>
      <c r="I41" s="584"/>
    </row>
    <row r="42" spans="1:9" ht="15" x14ac:dyDescent="0.3">
      <c r="A42" s="582"/>
      <c r="B42" s="583"/>
      <c r="C42" s="583"/>
      <c r="D42" s="583"/>
      <c r="E42" s="583"/>
      <c r="F42" s="583"/>
      <c r="G42" s="583"/>
      <c r="H42" s="583"/>
      <c r="I42" s="584"/>
    </row>
    <row r="43" spans="1:9" ht="15" x14ac:dyDescent="0.3">
      <c r="A43" s="582"/>
      <c r="B43" s="583"/>
      <c r="C43" s="583"/>
      <c r="D43" s="583"/>
      <c r="E43" s="583"/>
      <c r="F43" s="583"/>
      <c r="G43" s="583"/>
      <c r="H43" s="583"/>
      <c r="I43" s="584"/>
    </row>
    <row r="44" spans="1:9" x14ac:dyDescent="0.35">
      <c r="A44" s="591" t="s">
        <v>107</v>
      </c>
      <c r="B44" s="592"/>
      <c r="C44" s="592"/>
      <c r="D44" s="592"/>
      <c r="E44" s="592"/>
      <c r="F44" s="592"/>
      <c r="G44" s="592"/>
      <c r="H44" s="592"/>
      <c r="I44" s="593"/>
    </row>
    <row r="45" spans="1:9" ht="15" x14ac:dyDescent="0.3">
      <c r="A45" s="594"/>
      <c r="B45" s="595"/>
      <c r="C45" s="595"/>
      <c r="D45" s="595"/>
      <c r="E45" s="595"/>
      <c r="F45" s="595"/>
      <c r="G45" s="595"/>
      <c r="H45" s="595"/>
      <c r="I45" s="596"/>
    </row>
    <row r="46" spans="1:9" ht="15" x14ac:dyDescent="0.3">
      <c r="A46" s="582"/>
      <c r="B46" s="583"/>
      <c r="C46" s="583"/>
      <c r="D46" s="583"/>
      <c r="E46" s="583"/>
      <c r="F46" s="583"/>
      <c r="G46" s="583"/>
      <c r="H46" s="583"/>
      <c r="I46" s="584"/>
    </row>
    <row r="47" spans="1:9" ht="15" x14ac:dyDescent="0.3">
      <c r="A47" s="582"/>
      <c r="B47" s="583"/>
      <c r="C47" s="583"/>
      <c r="D47" s="583"/>
      <c r="E47" s="583"/>
      <c r="F47" s="583"/>
      <c r="G47" s="583"/>
      <c r="H47" s="583"/>
      <c r="I47" s="584"/>
    </row>
    <row r="48" spans="1:9" ht="15" x14ac:dyDescent="0.3">
      <c r="A48" s="582"/>
      <c r="B48" s="583"/>
      <c r="C48" s="583"/>
      <c r="D48" s="583"/>
      <c r="E48" s="583"/>
      <c r="F48" s="583"/>
      <c r="G48" s="583"/>
      <c r="H48" s="583"/>
      <c r="I48" s="584"/>
    </row>
    <row r="49" spans="1:9" ht="15" x14ac:dyDescent="0.3">
      <c r="A49" s="582"/>
      <c r="B49" s="583"/>
      <c r="C49" s="583"/>
      <c r="D49" s="583"/>
      <c r="E49" s="583"/>
      <c r="F49" s="583"/>
      <c r="G49" s="583"/>
      <c r="H49" s="583"/>
      <c r="I49" s="584"/>
    </row>
    <row r="50" spans="1:9" ht="15" x14ac:dyDescent="0.3">
      <c r="A50" s="582"/>
      <c r="B50" s="583"/>
      <c r="C50" s="583"/>
      <c r="D50" s="583"/>
      <c r="E50" s="583"/>
      <c r="F50" s="583"/>
      <c r="G50" s="583"/>
      <c r="H50" s="583"/>
      <c r="I50" s="584"/>
    </row>
    <row r="51" spans="1:9" ht="15" x14ac:dyDescent="0.3">
      <c r="A51" s="582"/>
      <c r="B51" s="583"/>
      <c r="C51" s="583"/>
      <c r="D51" s="583"/>
      <c r="E51" s="583"/>
      <c r="F51" s="583"/>
      <c r="G51" s="583"/>
      <c r="H51" s="583"/>
      <c r="I51" s="584"/>
    </row>
    <row r="52" spans="1:9" ht="15" x14ac:dyDescent="0.3">
      <c r="A52" s="582"/>
      <c r="B52" s="583"/>
      <c r="C52" s="583"/>
      <c r="D52" s="583"/>
      <c r="E52" s="583"/>
      <c r="F52" s="583"/>
      <c r="G52" s="583"/>
      <c r="H52" s="583"/>
      <c r="I52" s="584"/>
    </row>
    <row r="53" spans="1:9" ht="15" x14ac:dyDescent="0.3">
      <c r="A53" s="582"/>
      <c r="B53" s="583"/>
      <c r="C53" s="583"/>
      <c r="D53" s="583"/>
      <c r="E53" s="583"/>
      <c r="F53" s="583"/>
      <c r="G53" s="583"/>
      <c r="H53" s="583"/>
      <c r="I53" s="584"/>
    </row>
    <row r="54" spans="1:9" x14ac:dyDescent="0.35">
      <c r="A54" s="591" t="s">
        <v>108</v>
      </c>
      <c r="B54" s="592"/>
      <c r="C54" s="592"/>
      <c r="D54" s="592"/>
      <c r="E54" s="592"/>
      <c r="F54" s="592"/>
      <c r="G54" s="592"/>
      <c r="H54" s="592"/>
      <c r="I54" s="593"/>
    </row>
    <row r="55" spans="1:9" ht="15" x14ac:dyDescent="0.3">
      <c r="A55" s="594"/>
      <c r="B55" s="595"/>
      <c r="C55" s="595"/>
      <c r="D55" s="595"/>
      <c r="E55" s="595"/>
      <c r="F55" s="595"/>
      <c r="G55" s="595"/>
      <c r="H55" s="595"/>
      <c r="I55" s="596"/>
    </row>
    <row r="56" spans="1:9" ht="15" x14ac:dyDescent="0.3">
      <c r="A56" s="582"/>
      <c r="B56" s="583"/>
      <c r="C56" s="583"/>
      <c r="D56" s="583"/>
      <c r="E56" s="583"/>
      <c r="F56" s="583"/>
      <c r="G56" s="583"/>
      <c r="H56" s="583"/>
      <c r="I56" s="584"/>
    </row>
    <row r="57" spans="1:9" ht="15" x14ac:dyDescent="0.3">
      <c r="A57" s="582"/>
      <c r="B57" s="583"/>
      <c r="C57" s="583"/>
      <c r="D57" s="583"/>
      <c r="E57" s="583"/>
      <c r="F57" s="583"/>
      <c r="G57" s="583"/>
      <c r="H57" s="583"/>
      <c r="I57" s="584"/>
    </row>
    <row r="58" spans="1:9" ht="15" x14ac:dyDescent="0.3">
      <c r="A58" s="582"/>
      <c r="B58" s="583"/>
      <c r="C58" s="583"/>
      <c r="D58" s="583"/>
      <c r="E58" s="583"/>
      <c r="F58" s="583"/>
      <c r="G58" s="583"/>
      <c r="H58" s="583"/>
      <c r="I58" s="584"/>
    </row>
    <row r="59" spans="1:9" ht="15" x14ac:dyDescent="0.3">
      <c r="A59" s="582"/>
      <c r="B59" s="583"/>
      <c r="C59" s="583"/>
      <c r="D59" s="583"/>
      <c r="E59" s="583"/>
      <c r="F59" s="583"/>
      <c r="G59" s="583"/>
      <c r="H59" s="583"/>
      <c r="I59" s="584"/>
    </row>
    <row r="60" spans="1:9" ht="15" x14ac:dyDescent="0.3">
      <c r="A60" s="582"/>
      <c r="B60" s="583"/>
      <c r="C60" s="583"/>
      <c r="D60" s="583"/>
      <c r="E60" s="583"/>
      <c r="F60" s="583"/>
      <c r="G60" s="583"/>
      <c r="H60" s="583"/>
      <c r="I60" s="584"/>
    </row>
    <row r="61" spans="1:9" ht="15" x14ac:dyDescent="0.3">
      <c r="A61" s="582"/>
      <c r="B61" s="583"/>
      <c r="C61" s="583"/>
      <c r="D61" s="583"/>
      <c r="E61" s="583"/>
      <c r="F61" s="583"/>
      <c r="G61" s="583"/>
      <c r="H61" s="583"/>
      <c r="I61" s="584"/>
    </row>
    <row r="62" spans="1:9" x14ac:dyDescent="0.35">
      <c r="A62" s="591" t="s">
        <v>109</v>
      </c>
      <c r="B62" s="592"/>
      <c r="C62" s="592"/>
      <c r="D62" s="592"/>
      <c r="E62" s="592"/>
      <c r="F62" s="592"/>
      <c r="G62" s="592"/>
      <c r="H62" s="592"/>
      <c r="I62" s="593"/>
    </row>
    <row r="63" spans="1:9" ht="15" x14ac:dyDescent="0.3">
      <c r="A63" s="594"/>
      <c r="B63" s="595"/>
      <c r="C63" s="595"/>
      <c r="D63" s="595"/>
      <c r="E63" s="595"/>
      <c r="F63" s="595"/>
      <c r="G63" s="595"/>
      <c r="H63" s="595"/>
      <c r="I63" s="596"/>
    </row>
    <row r="64" spans="1:9" ht="15" x14ac:dyDescent="0.3">
      <c r="A64" s="582"/>
      <c r="B64" s="583"/>
      <c r="C64" s="583"/>
      <c r="D64" s="583"/>
      <c r="E64" s="583"/>
      <c r="F64" s="583"/>
      <c r="G64" s="583"/>
      <c r="H64" s="583"/>
      <c r="I64" s="584"/>
    </row>
    <row r="65" spans="1:9" ht="15" x14ac:dyDescent="0.3">
      <c r="A65" s="582"/>
      <c r="B65" s="583"/>
      <c r="C65" s="583"/>
      <c r="D65" s="583"/>
      <c r="E65" s="583"/>
      <c r="F65" s="583"/>
      <c r="G65" s="583"/>
      <c r="H65" s="583"/>
      <c r="I65" s="584"/>
    </row>
    <row r="66" spans="1:9" ht="15" x14ac:dyDescent="0.3">
      <c r="A66" s="582"/>
      <c r="B66" s="583"/>
      <c r="C66" s="583"/>
      <c r="D66" s="583"/>
      <c r="E66" s="583"/>
      <c r="F66" s="583"/>
      <c r="G66" s="583"/>
      <c r="H66" s="583"/>
      <c r="I66" s="584"/>
    </row>
    <row r="67" spans="1:9" ht="15" x14ac:dyDescent="0.3">
      <c r="A67" s="582"/>
      <c r="B67" s="583"/>
      <c r="C67" s="583"/>
      <c r="D67" s="583"/>
      <c r="E67" s="583"/>
      <c r="F67" s="583"/>
      <c r="G67" s="583"/>
      <c r="H67" s="583"/>
      <c r="I67" s="584"/>
    </row>
    <row r="68" spans="1:9" ht="15" x14ac:dyDescent="0.3">
      <c r="A68" s="582"/>
      <c r="B68" s="583"/>
      <c r="C68" s="583"/>
      <c r="D68" s="583"/>
      <c r="E68" s="583"/>
      <c r="F68" s="583"/>
      <c r="G68" s="583"/>
      <c r="H68" s="583"/>
      <c r="I68" s="584"/>
    </row>
    <row r="69" spans="1:9" ht="15" x14ac:dyDescent="0.3">
      <c r="A69" s="582"/>
      <c r="B69" s="583"/>
      <c r="C69" s="583"/>
      <c r="D69" s="583"/>
      <c r="E69" s="583"/>
      <c r="F69" s="583"/>
      <c r="G69" s="583"/>
      <c r="H69" s="583"/>
      <c r="I69" s="584"/>
    </row>
    <row r="70" spans="1:9" ht="15.75" thickBot="1" x14ac:dyDescent="0.35">
      <c r="A70" s="597"/>
      <c r="B70" s="598"/>
      <c r="C70" s="598"/>
      <c r="D70" s="598"/>
      <c r="E70" s="598"/>
      <c r="F70" s="598"/>
      <c r="G70" s="598"/>
      <c r="H70" s="598"/>
      <c r="I70" s="599"/>
    </row>
  </sheetData>
  <sheetProtection selectLockedCells="1" selectUnlockedCells="1"/>
  <mergeCells count="18">
    <mergeCell ref="A28:I28"/>
    <mergeCell ref="A29:I35"/>
    <mergeCell ref="A36:I36"/>
    <mergeCell ref="A37:I43"/>
    <mergeCell ref="A62:I62"/>
    <mergeCell ref="A63:I70"/>
    <mergeCell ref="A44:I44"/>
    <mergeCell ref="A45:I53"/>
    <mergeCell ref="A54:I54"/>
    <mergeCell ref="A55:I61"/>
    <mergeCell ref="A12:I12"/>
    <mergeCell ref="A13:I19"/>
    <mergeCell ref="A20:I20"/>
    <mergeCell ref="A21:I27"/>
    <mergeCell ref="A1:I1"/>
    <mergeCell ref="A2:I3"/>
    <mergeCell ref="A4:I4"/>
    <mergeCell ref="A5:I11"/>
  </mergeCells>
  <phoneticPr fontId="0" type="noConversion"/>
  <pageMargins left="0.74803149606299213" right="0.74803149606299213" top="0.78740157480314965" bottom="0.98425196850393704" header="0.51181102362204722" footer="0.51181102362204722"/>
  <pageSetup paperSize="9" firstPageNumber="0" orientation="portrait"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topLeftCell="A52" zoomScaleNormal="100" workbookViewId="0">
      <selection activeCell="B29" sqref="B29"/>
    </sheetView>
  </sheetViews>
  <sheetFormatPr defaultColWidth="8" defaultRowHeight="12.75" x14ac:dyDescent="0.2"/>
  <cols>
    <col min="1" max="1" width="9.140625" style="344" customWidth="1"/>
    <col min="2" max="2" width="30.42578125" style="348" customWidth="1"/>
    <col min="3" max="3" width="12.140625" style="348" customWidth="1"/>
    <col min="4" max="4" width="11.28515625" style="346" customWidth="1"/>
    <col min="5" max="5" width="12.140625" style="363" customWidth="1"/>
    <col min="6" max="16384" width="8" style="348"/>
  </cols>
  <sheetData>
    <row r="1" spans="1:5" s="343" customFormat="1" ht="33" x14ac:dyDescent="0.2">
      <c r="A1" s="349" t="s">
        <v>110</v>
      </c>
      <c r="B1" s="349" t="s">
        <v>111</v>
      </c>
      <c r="C1" s="349"/>
      <c r="D1" s="351" t="s">
        <v>112</v>
      </c>
      <c r="E1" s="360" t="s">
        <v>907</v>
      </c>
    </row>
    <row r="2" spans="1:5" x14ac:dyDescent="0.2">
      <c r="A2" s="344">
        <v>0</v>
      </c>
      <c r="B2" s="345" t="s">
        <v>138</v>
      </c>
      <c r="C2" s="345"/>
      <c r="E2" s="347"/>
    </row>
    <row r="3" spans="1:5" s="343" customFormat="1" ht="16.5" x14ac:dyDescent="0.2">
      <c r="A3" s="349"/>
      <c r="B3" s="350" t="s">
        <v>811</v>
      </c>
      <c r="C3" s="350"/>
      <c r="D3" s="351">
        <v>0</v>
      </c>
      <c r="E3" s="352">
        <v>0</v>
      </c>
    </row>
    <row r="4" spans="1:5" s="343" customFormat="1" ht="16.5" x14ac:dyDescent="0.2">
      <c r="A4" s="340">
        <v>1</v>
      </c>
      <c r="B4" s="353" t="s">
        <v>891</v>
      </c>
      <c r="C4" s="353" t="s">
        <v>900</v>
      </c>
      <c r="D4" s="354">
        <v>81</v>
      </c>
      <c r="E4" s="355" t="s">
        <v>909</v>
      </c>
    </row>
    <row r="5" spans="1:5" s="343" customFormat="1" ht="16.5" x14ac:dyDescent="0.2">
      <c r="A5" s="340">
        <v>2</v>
      </c>
      <c r="B5" s="353" t="s">
        <v>892</v>
      </c>
      <c r="C5" s="353" t="s">
        <v>900</v>
      </c>
      <c r="D5" s="354">
        <v>81</v>
      </c>
      <c r="E5" s="355" t="s">
        <v>924</v>
      </c>
    </row>
    <row r="6" spans="1:5" s="343" customFormat="1" ht="16.5" x14ac:dyDescent="0.2">
      <c r="A6" s="340">
        <v>3</v>
      </c>
      <c r="B6" s="353" t="s">
        <v>812</v>
      </c>
      <c r="C6" s="353" t="s">
        <v>899</v>
      </c>
      <c r="D6" s="354">
        <v>81</v>
      </c>
      <c r="E6" s="355">
        <v>3</v>
      </c>
    </row>
    <row r="7" spans="1:5" s="343" customFormat="1" ht="16.5" x14ac:dyDescent="0.2">
      <c r="A7" s="340">
        <v>4</v>
      </c>
      <c r="B7" s="353" t="s">
        <v>893</v>
      </c>
      <c r="C7" s="353" t="s">
        <v>900</v>
      </c>
      <c r="D7" s="354">
        <v>81</v>
      </c>
      <c r="E7" s="355" t="s">
        <v>924</v>
      </c>
    </row>
    <row r="8" spans="1:5" s="343" customFormat="1" ht="16.5" x14ac:dyDescent="0.2">
      <c r="A8" s="340">
        <v>5</v>
      </c>
      <c r="B8" s="353" t="s">
        <v>894</v>
      </c>
      <c r="C8" s="353" t="s">
        <v>900</v>
      </c>
      <c r="D8" s="354">
        <v>81</v>
      </c>
      <c r="E8" s="355" t="s">
        <v>924</v>
      </c>
    </row>
    <row r="9" spans="1:5" s="343" customFormat="1" ht="16.5" x14ac:dyDescent="0.2">
      <c r="A9" s="340">
        <v>6</v>
      </c>
      <c r="B9" s="353" t="s">
        <v>895</v>
      </c>
      <c r="C9" s="353" t="s">
        <v>900</v>
      </c>
      <c r="D9" s="354">
        <v>81</v>
      </c>
      <c r="E9" s="355" t="s">
        <v>925</v>
      </c>
    </row>
    <row r="10" spans="1:5" s="343" customFormat="1" ht="16.5" x14ac:dyDescent="0.2">
      <c r="A10" s="340">
        <v>7</v>
      </c>
      <c r="B10" s="353" t="s">
        <v>813</v>
      </c>
      <c r="C10" s="353" t="s">
        <v>899</v>
      </c>
      <c r="D10" s="354">
        <v>81</v>
      </c>
      <c r="E10" s="355">
        <v>7</v>
      </c>
    </row>
    <row r="11" spans="1:5" s="343" customFormat="1" ht="16.5" customHeight="1" x14ac:dyDescent="0.2">
      <c r="A11" s="340">
        <v>8</v>
      </c>
      <c r="B11" s="353" t="s">
        <v>814</v>
      </c>
      <c r="C11" s="353" t="s">
        <v>900</v>
      </c>
      <c r="D11" s="354">
        <v>79</v>
      </c>
      <c r="E11" s="355" t="s">
        <v>639</v>
      </c>
    </row>
    <row r="12" spans="1:5" s="343" customFormat="1" ht="16.5" x14ac:dyDescent="0.2">
      <c r="A12" s="340">
        <v>9</v>
      </c>
      <c r="B12" s="353" t="s">
        <v>896</v>
      </c>
      <c r="C12" s="353" t="s">
        <v>900</v>
      </c>
      <c r="D12" s="354">
        <v>81</v>
      </c>
      <c r="E12" s="355" t="s">
        <v>641</v>
      </c>
    </row>
    <row r="13" spans="1:5" s="343" customFormat="1" ht="16.5" x14ac:dyDescent="0.2">
      <c r="A13" s="340">
        <v>10</v>
      </c>
      <c r="B13" s="353" t="s">
        <v>897</v>
      </c>
      <c r="C13" s="353" t="s">
        <v>900</v>
      </c>
      <c r="D13" s="354">
        <v>81</v>
      </c>
      <c r="E13" s="355" t="s">
        <v>502</v>
      </c>
    </row>
    <row r="14" spans="1:5" s="343" customFormat="1" ht="16.5" x14ac:dyDescent="0.2">
      <c r="A14" s="340">
        <v>11</v>
      </c>
      <c r="B14" s="353" t="s">
        <v>815</v>
      </c>
      <c r="C14" s="353" t="s">
        <v>899</v>
      </c>
      <c r="D14" s="354">
        <v>81</v>
      </c>
      <c r="E14" s="355">
        <v>15</v>
      </c>
    </row>
    <row r="15" spans="1:5" s="343" customFormat="1" ht="16.5" x14ac:dyDescent="0.2">
      <c r="A15" s="340">
        <v>12</v>
      </c>
      <c r="B15" s="353" t="s">
        <v>898</v>
      </c>
      <c r="C15" s="353" t="s">
        <v>900</v>
      </c>
      <c r="D15" s="354">
        <v>81</v>
      </c>
      <c r="E15" s="355" t="s">
        <v>908</v>
      </c>
    </row>
    <row r="16" spans="1:5" s="343" customFormat="1" ht="16.5" x14ac:dyDescent="0.2">
      <c r="A16" s="340">
        <v>13</v>
      </c>
      <c r="B16" s="353" t="s">
        <v>816</v>
      </c>
      <c r="C16" s="353" t="s">
        <v>899</v>
      </c>
      <c r="D16" s="354">
        <v>79</v>
      </c>
      <c r="E16" s="356">
        <v>50</v>
      </c>
    </row>
    <row r="17" spans="1:5" s="343" customFormat="1" ht="16.5" x14ac:dyDescent="0.2">
      <c r="A17" s="340"/>
      <c r="B17" s="357"/>
      <c r="C17" s="357"/>
      <c r="D17" s="341"/>
      <c r="E17" s="342"/>
    </row>
    <row r="18" spans="1:5" s="343" customFormat="1" ht="16.5" x14ac:dyDescent="0.2">
      <c r="A18" s="358"/>
      <c r="B18" s="359" t="s">
        <v>852</v>
      </c>
      <c r="C18" s="359"/>
      <c r="D18" s="351"/>
      <c r="E18" s="360"/>
    </row>
    <row r="19" spans="1:5" s="343" customFormat="1" ht="16.5" x14ac:dyDescent="0.2">
      <c r="A19" s="340">
        <v>101</v>
      </c>
      <c r="B19" s="353" t="s">
        <v>922</v>
      </c>
      <c r="C19" s="353" t="s">
        <v>900</v>
      </c>
      <c r="D19" s="354">
        <v>77</v>
      </c>
      <c r="E19" s="356">
        <v>4</v>
      </c>
    </row>
    <row r="20" spans="1:5" s="343" customFormat="1" ht="16.5" x14ac:dyDescent="0.2">
      <c r="A20" s="340">
        <v>102</v>
      </c>
      <c r="B20" s="353" t="s">
        <v>913</v>
      </c>
      <c r="C20" s="353" t="s">
        <v>900</v>
      </c>
      <c r="D20" s="354">
        <v>77</v>
      </c>
      <c r="E20" s="356">
        <v>4</v>
      </c>
    </row>
    <row r="21" spans="1:5" s="343" customFormat="1" ht="16.5" x14ac:dyDescent="0.2">
      <c r="A21" s="340">
        <v>103</v>
      </c>
      <c r="B21" s="353" t="s">
        <v>914</v>
      </c>
      <c r="C21" s="353" t="s">
        <v>900</v>
      </c>
      <c r="D21" s="354">
        <v>74</v>
      </c>
      <c r="E21" s="356">
        <v>25</v>
      </c>
    </row>
    <row r="22" spans="1:5" s="343" customFormat="1" ht="16.5" x14ac:dyDescent="0.2">
      <c r="A22" s="340">
        <v>104</v>
      </c>
      <c r="B22" s="353" t="s">
        <v>912</v>
      </c>
      <c r="C22" s="353" t="s">
        <v>900</v>
      </c>
      <c r="D22" s="354">
        <v>74</v>
      </c>
      <c r="E22" s="356">
        <v>25</v>
      </c>
    </row>
    <row r="23" spans="1:5" s="343" customFormat="1" ht="16.5" x14ac:dyDescent="0.2">
      <c r="A23" s="340">
        <v>105</v>
      </c>
      <c r="B23" s="353" t="s">
        <v>916</v>
      </c>
      <c r="C23" s="353" t="s">
        <v>900</v>
      </c>
      <c r="D23" s="354">
        <v>74</v>
      </c>
      <c r="E23" s="356">
        <v>35</v>
      </c>
    </row>
    <row r="24" spans="1:5" s="343" customFormat="1" ht="16.5" x14ac:dyDescent="0.2">
      <c r="A24" s="340">
        <v>106</v>
      </c>
      <c r="B24" s="353" t="s">
        <v>915</v>
      </c>
      <c r="C24" s="353" t="s">
        <v>900</v>
      </c>
      <c r="D24" s="354">
        <v>74</v>
      </c>
      <c r="E24" s="356">
        <v>40</v>
      </c>
    </row>
    <row r="25" spans="1:5" s="343" customFormat="1" ht="16.5" x14ac:dyDescent="0.2">
      <c r="A25" s="340">
        <v>107</v>
      </c>
      <c r="B25" s="353" t="s">
        <v>915</v>
      </c>
      <c r="C25" s="353" t="s">
        <v>900</v>
      </c>
      <c r="D25" s="354">
        <v>74</v>
      </c>
      <c r="E25" s="356">
        <v>45</v>
      </c>
    </row>
    <row r="26" spans="1:5" s="343" customFormat="1" ht="16.5" x14ac:dyDescent="0.2">
      <c r="A26" s="340">
        <v>108</v>
      </c>
      <c r="B26" s="353" t="s">
        <v>917</v>
      </c>
      <c r="C26" s="353" t="s">
        <v>900</v>
      </c>
      <c r="D26" s="354">
        <v>74</v>
      </c>
      <c r="E26" s="356">
        <v>45</v>
      </c>
    </row>
    <row r="27" spans="1:5" s="343" customFormat="1" ht="16.5" x14ac:dyDescent="0.2">
      <c r="A27" s="340">
        <v>109</v>
      </c>
      <c r="B27" s="353" t="s">
        <v>918</v>
      </c>
      <c r="C27" s="353" t="s">
        <v>900</v>
      </c>
      <c r="D27" s="354">
        <v>74</v>
      </c>
      <c r="E27" s="356">
        <v>60</v>
      </c>
    </row>
    <row r="28" spans="1:5" s="343" customFormat="1" ht="16.5" x14ac:dyDescent="0.2">
      <c r="A28" s="340">
        <v>110</v>
      </c>
      <c r="B28" s="353" t="s">
        <v>113</v>
      </c>
      <c r="C28" s="353" t="s">
        <v>899</v>
      </c>
      <c r="D28" s="354">
        <v>74</v>
      </c>
      <c r="E28" s="356">
        <v>120</v>
      </c>
    </row>
    <row r="29" spans="1:5" s="343" customFormat="1" ht="16.5" x14ac:dyDescent="0.2">
      <c r="A29" s="340">
        <v>111</v>
      </c>
      <c r="B29" s="353" t="s">
        <v>919</v>
      </c>
      <c r="C29" s="353" t="s">
        <v>900</v>
      </c>
      <c r="D29" s="354">
        <v>74</v>
      </c>
      <c r="E29" s="356">
        <v>120</v>
      </c>
    </row>
    <row r="30" spans="1:5" s="343" customFormat="1" ht="16.5" x14ac:dyDescent="0.2">
      <c r="A30" s="340">
        <v>112</v>
      </c>
      <c r="B30" s="353" t="s">
        <v>920</v>
      </c>
      <c r="C30" s="353" t="s">
        <v>900</v>
      </c>
      <c r="D30" s="354">
        <v>74</v>
      </c>
      <c r="E30" s="356">
        <v>120</v>
      </c>
    </row>
    <row r="31" spans="1:5" s="343" customFormat="1" ht="16.5" x14ac:dyDescent="0.2">
      <c r="A31" s="340">
        <v>113</v>
      </c>
      <c r="B31" s="353" t="s">
        <v>127</v>
      </c>
      <c r="C31" s="353" t="s">
        <v>899</v>
      </c>
      <c r="D31" s="354">
        <v>77</v>
      </c>
      <c r="E31" s="356">
        <v>150</v>
      </c>
    </row>
    <row r="32" spans="1:5" s="343" customFormat="1" ht="16.5" x14ac:dyDescent="0.2">
      <c r="A32" s="340">
        <v>114</v>
      </c>
      <c r="B32" s="353" t="s">
        <v>817</v>
      </c>
      <c r="C32" s="353" t="s">
        <v>899</v>
      </c>
      <c r="D32" s="354">
        <v>74</v>
      </c>
      <c r="E32" s="356">
        <v>350</v>
      </c>
    </row>
    <row r="33" spans="1:5" s="343" customFormat="1" ht="16.5" x14ac:dyDescent="0.2">
      <c r="A33" s="340">
        <v>115</v>
      </c>
      <c r="B33" s="353" t="s">
        <v>921</v>
      </c>
      <c r="C33" s="353" t="s">
        <v>900</v>
      </c>
      <c r="D33" s="354">
        <v>77</v>
      </c>
      <c r="E33" s="356">
        <v>400</v>
      </c>
    </row>
    <row r="34" spans="1:5" s="343" customFormat="1" ht="16.5" x14ac:dyDescent="0.2">
      <c r="A34" s="340"/>
      <c r="B34" s="353"/>
      <c r="C34" s="353"/>
      <c r="D34" s="354"/>
      <c r="E34" s="356"/>
    </row>
    <row r="35" spans="1:5" s="343" customFormat="1" ht="16.5" x14ac:dyDescent="0.2">
      <c r="A35" s="349"/>
      <c r="B35" s="350" t="s">
        <v>818</v>
      </c>
      <c r="C35" s="350"/>
      <c r="D35" s="351"/>
      <c r="E35" s="360"/>
    </row>
    <row r="36" spans="1:5" s="361" customFormat="1" ht="16.5" x14ac:dyDescent="0.2">
      <c r="A36" s="340">
        <v>201</v>
      </c>
      <c r="B36" s="353" t="s">
        <v>819</v>
      </c>
      <c r="C36" s="353"/>
      <c r="D36" s="354">
        <v>78</v>
      </c>
      <c r="E36" s="356">
        <v>50</v>
      </c>
    </row>
    <row r="37" spans="1:5" s="361" customFormat="1" ht="16.5" x14ac:dyDescent="0.2">
      <c r="A37" s="340">
        <v>202</v>
      </c>
      <c r="B37" s="353" t="s">
        <v>839</v>
      </c>
      <c r="C37" s="353"/>
      <c r="D37" s="354">
        <v>79</v>
      </c>
      <c r="E37" s="356">
        <v>800</v>
      </c>
    </row>
    <row r="38" spans="1:5" s="361" customFormat="1" ht="16.5" x14ac:dyDescent="0.2">
      <c r="A38" s="340">
        <v>203</v>
      </c>
      <c r="B38" s="353" t="s">
        <v>905</v>
      </c>
      <c r="C38" s="353" t="s">
        <v>900</v>
      </c>
      <c r="D38" s="354">
        <v>79</v>
      </c>
      <c r="E38" s="356">
        <v>800</v>
      </c>
    </row>
    <row r="39" spans="1:5" s="361" customFormat="1" ht="16.5" x14ac:dyDescent="0.2">
      <c r="A39" s="340">
        <v>204</v>
      </c>
      <c r="B39" s="353" t="s">
        <v>840</v>
      </c>
      <c r="C39" s="353" t="s">
        <v>899</v>
      </c>
      <c r="D39" s="354">
        <v>77.5</v>
      </c>
      <c r="E39" s="356">
        <v>900</v>
      </c>
    </row>
    <row r="40" spans="1:5" s="361" customFormat="1" ht="16.5" x14ac:dyDescent="0.2">
      <c r="A40" s="340">
        <v>205</v>
      </c>
      <c r="B40" s="353" t="s">
        <v>903</v>
      </c>
      <c r="C40" s="353" t="s">
        <v>900</v>
      </c>
      <c r="D40" s="354" t="s">
        <v>910</v>
      </c>
      <c r="E40" s="356">
        <v>900</v>
      </c>
    </row>
    <row r="41" spans="1:5" s="361" customFormat="1" ht="16.5" x14ac:dyDescent="0.2">
      <c r="A41" s="340">
        <v>206</v>
      </c>
      <c r="B41" s="353" t="s">
        <v>904</v>
      </c>
      <c r="C41" s="353" t="s">
        <v>900</v>
      </c>
      <c r="D41" s="354">
        <v>80</v>
      </c>
      <c r="E41" s="356">
        <v>1100</v>
      </c>
    </row>
    <row r="42" spans="1:5" s="361" customFormat="1" ht="16.5" x14ac:dyDescent="0.2">
      <c r="A42" s="340">
        <v>207</v>
      </c>
      <c r="B42" s="353" t="s">
        <v>820</v>
      </c>
      <c r="C42" s="353"/>
      <c r="D42" s="354">
        <v>80.5</v>
      </c>
      <c r="E42" s="356">
        <v>1200</v>
      </c>
    </row>
    <row r="43" spans="1:5" s="361" customFormat="1" ht="16.5" x14ac:dyDescent="0.2">
      <c r="A43" s="340">
        <v>208</v>
      </c>
      <c r="B43" s="353" t="s">
        <v>821</v>
      </c>
      <c r="C43" s="353" t="s">
        <v>899</v>
      </c>
      <c r="D43" s="354">
        <v>77</v>
      </c>
      <c r="E43" s="356">
        <v>1400</v>
      </c>
    </row>
    <row r="44" spans="1:5" s="361" customFormat="1" ht="16.5" x14ac:dyDescent="0.2">
      <c r="A44" s="340">
        <v>209</v>
      </c>
      <c r="B44" s="353" t="s">
        <v>906</v>
      </c>
      <c r="C44" s="353" t="s">
        <v>900</v>
      </c>
      <c r="D44" s="354">
        <v>77</v>
      </c>
      <c r="E44" s="356">
        <v>1400</v>
      </c>
    </row>
    <row r="45" spans="1:5" s="361" customFormat="1" ht="16.5" x14ac:dyDescent="0.2">
      <c r="A45" s="340"/>
      <c r="B45" s="353"/>
      <c r="C45" s="353"/>
      <c r="D45" s="354"/>
      <c r="E45" s="356"/>
    </row>
    <row r="46" spans="1:5" s="343" customFormat="1" ht="16.5" x14ac:dyDescent="0.2">
      <c r="A46" s="349"/>
      <c r="B46" s="350" t="s">
        <v>822</v>
      </c>
      <c r="C46" s="350"/>
      <c r="D46" s="351"/>
      <c r="E46" s="360"/>
    </row>
    <row r="47" spans="1:5" s="361" customFormat="1" ht="16.5" x14ac:dyDescent="0.2">
      <c r="A47" s="340">
        <v>301</v>
      </c>
      <c r="B47" s="353" t="s">
        <v>823</v>
      </c>
      <c r="C47" s="353" t="s">
        <v>899</v>
      </c>
      <c r="D47" s="354">
        <v>80</v>
      </c>
      <c r="E47" s="355">
        <v>3</v>
      </c>
    </row>
    <row r="48" spans="1:5" s="361" customFormat="1" ht="16.5" x14ac:dyDescent="0.2">
      <c r="A48" s="340">
        <v>302</v>
      </c>
      <c r="B48" s="353" t="s">
        <v>901</v>
      </c>
      <c r="C48" s="353" t="s">
        <v>900</v>
      </c>
      <c r="D48" s="354">
        <v>80</v>
      </c>
      <c r="E48" s="355" t="s">
        <v>634</v>
      </c>
    </row>
    <row r="49" spans="1:5" s="361" customFormat="1" ht="16.5" x14ac:dyDescent="0.2">
      <c r="A49" s="340">
        <v>303</v>
      </c>
      <c r="B49" s="353" t="s">
        <v>902</v>
      </c>
      <c r="C49" s="353" t="s">
        <v>900</v>
      </c>
      <c r="D49" s="354">
        <v>80</v>
      </c>
      <c r="E49" s="355" t="s">
        <v>635</v>
      </c>
    </row>
    <row r="50" spans="1:5" s="361" customFormat="1" ht="16.5" x14ac:dyDescent="0.2">
      <c r="A50" s="340">
        <v>304</v>
      </c>
      <c r="B50" s="353" t="s">
        <v>824</v>
      </c>
      <c r="C50" s="353" t="s">
        <v>900</v>
      </c>
      <c r="D50" s="354">
        <v>79.5</v>
      </c>
      <c r="E50" s="355">
        <v>15</v>
      </c>
    </row>
    <row r="51" spans="1:5" s="361" customFormat="1" ht="16.5" x14ac:dyDescent="0.2">
      <c r="A51" s="340">
        <v>305</v>
      </c>
      <c r="B51" s="353" t="s">
        <v>825</v>
      </c>
      <c r="C51" s="353" t="s">
        <v>899</v>
      </c>
      <c r="D51" s="354">
        <v>79.5</v>
      </c>
      <c r="E51" s="355">
        <v>900</v>
      </c>
    </row>
    <row r="52" spans="1:5" s="361" customFormat="1" ht="16.5" x14ac:dyDescent="0.2">
      <c r="A52" s="340"/>
      <c r="B52" s="353"/>
      <c r="C52" s="353"/>
      <c r="D52" s="354"/>
      <c r="E52" s="355"/>
    </row>
    <row r="53" spans="1:5" s="343" customFormat="1" ht="16.5" x14ac:dyDescent="0.2">
      <c r="A53" s="349"/>
      <c r="B53" s="350" t="s">
        <v>826</v>
      </c>
      <c r="C53" s="350"/>
      <c r="D53" s="351"/>
      <c r="E53" s="360"/>
    </row>
    <row r="54" spans="1:5" s="361" customFormat="1" ht="16.5" x14ac:dyDescent="0.2">
      <c r="A54" s="340">
        <v>401</v>
      </c>
      <c r="B54" s="353" t="s">
        <v>828</v>
      </c>
      <c r="C54" s="353" t="s">
        <v>900</v>
      </c>
      <c r="D54" s="354">
        <v>80</v>
      </c>
      <c r="E54" s="356">
        <v>5</v>
      </c>
    </row>
    <row r="55" spans="1:5" s="361" customFormat="1" ht="16.5" x14ac:dyDescent="0.2">
      <c r="A55" s="340">
        <v>402</v>
      </c>
      <c r="B55" s="353" t="s">
        <v>827</v>
      </c>
      <c r="C55" s="353" t="s">
        <v>900</v>
      </c>
      <c r="D55" s="354">
        <v>78</v>
      </c>
      <c r="E55" s="356">
        <v>6</v>
      </c>
    </row>
    <row r="56" spans="1:5" s="361" customFormat="1" ht="16.5" x14ac:dyDescent="0.2">
      <c r="A56" s="340">
        <v>403</v>
      </c>
      <c r="B56" s="353" t="s">
        <v>829</v>
      </c>
      <c r="C56" s="353" t="s">
        <v>900</v>
      </c>
      <c r="D56" s="354">
        <v>85</v>
      </c>
      <c r="E56" s="356">
        <v>6</v>
      </c>
    </row>
    <row r="57" spans="1:5" s="361" customFormat="1" ht="16.5" x14ac:dyDescent="0.3">
      <c r="A57" s="340">
        <v>404</v>
      </c>
      <c r="B57" s="362" t="s">
        <v>911</v>
      </c>
      <c r="C57" s="353" t="s">
        <v>900</v>
      </c>
      <c r="D57" s="354"/>
      <c r="E57" s="356">
        <v>45</v>
      </c>
    </row>
    <row r="58" spans="1:5" s="361" customFormat="1" ht="19.5" x14ac:dyDescent="0.4">
      <c r="A58" s="340">
        <v>405</v>
      </c>
      <c r="B58" s="362" t="s">
        <v>851</v>
      </c>
      <c r="C58" s="353" t="s">
        <v>900</v>
      </c>
      <c r="D58" s="354">
        <v>80</v>
      </c>
      <c r="E58" s="356">
        <v>70</v>
      </c>
    </row>
    <row r="59" spans="1:5" s="361" customFormat="1" ht="16.5" x14ac:dyDescent="0.2">
      <c r="A59" s="340">
        <v>406</v>
      </c>
      <c r="B59" s="353" t="s">
        <v>114</v>
      </c>
      <c r="C59" s="353" t="s">
        <v>899</v>
      </c>
      <c r="D59" s="354"/>
      <c r="E59" s="356">
        <v>1000</v>
      </c>
    </row>
    <row r="60" spans="1:5" s="361" customFormat="1" ht="16.5" x14ac:dyDescent="0.2">
      <c r="A60" s="340">
        <v>407</v>
      </c>
      <c r="B60" s="353" t="s">
        <v>830</v>
      </c>
      <c r="C60" s="353" t="s">
        <v>900</v>
      </c>
      <c r="D60" s="354">
        <v>83</v>
      </c>
      <c r="E60" s="356">
        <v>6</v>
      </c>
    </row>
    <row r="61" spans="1:5" s="361" customFormat="1" ht="16.5" x14ac:dyDescent="0.2">
      <c r="A61" s="340">
        <v>408</v>
      </c>
      <c r="B61" s="353" t="s">
        <v>831</v>
      </c>
      <c r="C61" s="353" t="s">
        <v>899</v>
      </c>
      <c r="D61" s="354"/>
      <c r="E61" s="356"/>
    </row>
    <row r="62" spans="1:5" s="361" customFormat="1" ht="16.5" x14ac:dyDescent="0.3">
      <c r="A62" s="340">
        <v>409</v>
      </c>
      <c r="B62" s="362" t="s">
        <v>819</v>
      </c>
      <c r="C62" s="353" t="s">
        <v>899</v>
      </c>
      <c r="D62" s="354">
        <v>80</v>
      </c>
      <c r="E62" s="356"/>
    </row>
    <row r="63" spans="1:5" s="361" customFormat="1" ht="16.5" x14ac:dyDescent="0.3">
      <c r="A63" s="340">
        <v>410</v>
      </c>
      <c r="B63" s="362" t="s">
        <v>923</v>
      </c>
      <c r="C63" s="353" t="s">
        <v>900</v>
      </c>
      <c r="D63" s="354">
        <v>83</v>
      </c>
      <c r="E63" s="356">
        <v>6</v>
      </c>
    </row>
    <row r="64" spans="1:5" s="361" customFormat="1" ht="16.5" x14ac:dyDescent="0.2">
      <c r="A64" s="340"/>
      <c r="B64" s="353"/>
      <c r="C64" s="353"/>
      <c r="D64" s="354"/>
      <c r="E64" s="356"/>
    </row>
    <row r="65" spans="1:5" s="343" customFormat="1" ht="16.5" x14ac:dyDescent="0.2">
      <c r="A65" s="349"/>
      <c r="B65" s="350" t="s">
        <v>832</v>
      </c>
      <c r="C65" s="350"/>
      <c r="D65" s="351"/>
      <c r="E65" s="360"/>
    </row>
    <row r="66" spans="1:5" s="361" customFormat="1" ht="16.5" x14ac:dyDescent="0.2">
      <c r="A66" s="340">
        <v>501</v>
      </c>
      <c r="B66" s="353" t="s">
        <v>833</v>
      </c>
      <c r="C66" s="353" t="s">
        <v>899</v>
      </c>
      <c r="D66" s="354">
        <v>99</v>
      </c>
      <c r="E66" s="356"/>
    </row>
    <row r="67" spans="1:5" s="361" customFormat="1" ht="16.5" x14ac:dyDescent="0.2">
      <c r="A67" s="340">
        <v>502</v>
      </c>
      <c r="B67" s="353" t="s">
        <v>834</v>
      </c>
      <c r="C67" s="353" t="s">
        <v>899</v>
      </c>
      <c r="D67" s="354">
        <v>81</v>
      </c>
      <c r="E67" s="356"/>
    </row>
    <row r="68" spans="1:5" s="361" customFormat="1" ht="16.5" x14ac:dyDescent="0.2">
      <c r="A68" s="340">
        <v>503</v>
      </c>
      <c r="B68" s="353" t="s">
        <v>835</v>
      </c>
      <c r="C68" s="353" t="s">
        <v>899</v>
      </c>
      <c r="D68" s="354">
        <v>76</v>
      </c>
      <c r="E68" s="356"/>
    </row>
    <row r="69" spans="1:5" s="361" customFormat="1" ht="16.5" x14ac:dyDescent="0.2">
      <c r="A69" s="340">
        <v>504</v>
      </c>
      <c r="B69" s="353" t="s">
        <v>836</v>
      </c>
      <c r="C69" s="353" t="s">
        <v>899</v>
      </c>
      <c r="D69" s="354">
        <v>79</v>
      </c>
      <c r="E69" s="356"/>
    </row>
    <row r="70" spans="1:5" s="361" customFormat="1" ht="16.5" x14ac:dyDescent="0.2">
      <c r="A70" s="340">
        <v>505</v>
      </c>
      <c r="B70" s="353" t="s">
        <v>837</v>
      </c>
      <c r="C70" s="353" t="s">
        <v>899</v>
      </c>
      <c r="D70" s="354">
        <v>90</v>
      </c>
      <c r="E70" s="356"/>
    </row>
    <row r="71" spans="1:5" s="361" customFormat="1" ht="16.5" x14ac:dyDescent="0.2">
      <c r="A71" s="340"/>
      <c r="B71" s="353"/>
      <c r="C71" s="353"/>
      <c r="D71" s="354"/>
      <c r="E71" s="356"/>
    </row>
    <row r="72" spans="1:5" s="343" customFormat="1" ht="16.5" x14ac:dyDescent="0.2">
      <c r="A72" s="349"/>
      <c r="B72" s="350" t="s">
        <v>838</v>
      </c>
      <c r="C72" s="350"/>
      <c r="D72" s="351"/>
      <c r="E72" s="360"/>
    </row>
    <row r="73" spans="1:5" s="361" customFormat="1" ht="16.5" x14ac:dyDescent="0.2">
      <c r="A73" s="340">
        <v>601</v>
      </c>
      <c r="B73" s="353" t="s">
        <v>842</v>
      </c>
      <c r="C73" s="353" t="s">
        <v>899</v>
      </c>
      <c r="D73" s="354">
        <v>75</v>
      </c>
      <c r="E73" s="356">
        <v>8</v>
      </c>
    </row>
    <row r="74" spans="1:5" s="361" customFormat="1" ht="16.5" x14ac:dyDescent="0.2">
      <c r="A74" s="340">
        <v>602</v>
      </c>
      <c r="B74" s="353" t="s">
        <v>846</v>
      </c>
      <c r="C74" s="353" t="s">
        <v>899</v>
      </c>
      <c r="D74" s="354">
        <v>75</v>
      </c>
      <c r="E74" s="356">
        <v>8</v>
      </c>
    </row>
    <row r="75" spans="1:5" s="361" customFormat="1" ht="16.5" x14ac:dyDescent="0.2">
      <c r="A75" s="340">
        <v>603</v>
      </c>
      <c r="B75" s="353" t="s">
        <v>843</v>
      </c>
      <c r="C75" s="353" t="s">
        <v>899</v>
      </c>
      <c r="D75" s="354">
        <v>75</v>
      </c>
      <c r="E75" s="356">
        <v>18</v>
      </c>
    </row>
    <row r="76" spans="1:5" s="361" customFormat="1" ht="16.5" x14ac:dyDescent="0.2">
      <c r="A76" s="340">
        <v>604</v>
      </c>
      <c r="B76" s="353" t="s">
        <v>844</v>
      </c>
      <c r="C76" s="353" t="s">
        <v>899</v>
      </c>
      <c r="D76" s="354">
        <v>75</v>
      </c>
      <c r="E76" s="356">
        <v>57</v>
      </c>
    </row>
    <row r="77" spans="1:5" s="361" customFormat="1" ht="16.5" x14ac:dyDescent="0.2">
      <c r="A77" s="340">
        <v>605</v>
      </c>
      <c r="B77" s="353" t="s">
        <v>845</v>
      </c>
      <c r="C77" s="353" t="s">
        <v>899</v>
      </c>
      <c r="D77" s="354">
        <v>75</v>
      </c>
      <c r="E77" s="356">
        <v>95</v>
      </c>
    </row>
    <row r="78" spans="1:5" s="343" customFormat="1" ht="16.5" x14ac:dyDescent="0.2">
      <c r="A78" s="340"/>
      <c r="B78" s="357"/>
      <c r="C78" s="357"/>
      <c r="D78" s="341"/>
      <c r="E78" s="342"/>
    </row>
    <row r="79" spans="1:5" s="343" customFormat="1" ht="16.5" x14ac:dyDescent="0.2">
      <c r="A79" s="349"/>
      <c r="B79" s="350" t="s">
        <v>841</v>
      </c>
      <c r="C79" s="350"/>
      <c r="D79" s="351"/>
      <c r="E79" s="360"/>
    </row>
    <row r="80" spans="1:5" s="361" customFormat="1" ht="16.5" x14ac:dyDescent="0.2">
      <c r="A80" s="340">
        <v>701</v>
      </c>
      <c r="B80" s="353" t="s">
        <v>850</v>
      </c>
      <c r="C80" s="353" t="s">
        <v>899</v>
      </c>
      <c r="D80" s="354">
        <v>74</v>
      </c>
      <c r="E80" s="356">
        <v>8</v>
      </c>
    </row>
    <row r="81" spans="1:5" s="361" customFormat="1" ht="16.5" x14ac:dyDescent="0.2">
      <c r="A81" s="340">
        <v>702</v>
      </c>
      <c r="B81" s="353" t="s">
        <v>847</v>
      </c>
      <c r="C81" s="353" t="s">
        <v>899</v>
      </c>
      <c r="D81" s="354">
        <v>74</v>
      </c>
      <c r="E81" s="356">
        <v>10</v>
      </c>
    </row>
    <row r="82" spans="1:5" s="361" customFormat="1" ht="16.5" x14ac:dyDescent="0.2">
      <c r="A82" s="340">
        <v>703</v>
      </c>
      <c r="B82" s="353" t="s">
        <v>848</v>
      </c>
      <c r="C82" s="353" t="s">
        <v>899</v>
      </c>
      <c r="D82" s="354">
        <v>74</v>
      </c>
      <c r="E82" s="356">
        <v>18</v>
      </c>
    </row>
    <row r="83" spans="1:5" s="361" customFormat="1" ht="16.5" x14ac:dyDescent="0.2">
      <c r="A83" s="340">
        <v>704</v>
      </c>
      <c r="B83" s="353" t="s">
        <v>849</v>
      </c>
      <c r="C83" s="353" t="s">
        <v>899</v>
      </c>
      <c r="D83" s="354">
        <v>74</v>
      </c>
      <c r="E83" s="356">
        <v>55</v>
      </c>
    </row>
    <row r="84" spans="1:5" s="343" customFormat="1" ht="16.5" x14ac:dyDescent="0.2">
      <c r="A84" s="340"/>
      <c r="B84" s="357"/>
      <c r="C84" s="357"/>
      <c r="D84" s="341"/>
      <c r="E84" s="342"/>
    </row>
    <row r="85" spans="1:5" s="343" customFormat="1" ht="16.5" x14ac:dyDescent="0.2">
      <c r="A85" s="340"/>
      <c r="B85" s="357"/>
      <c r="C85" s="357"/>
      <c r="D85" s="341"/>
      <c r="E85" s="342"/>
    </row>
    <row r="86" spans="1:5" s="343" customFormat="1" ht="16.5" x14ac:dyDescent="0.2">
      <c r="A86" s="340"/>
      <c r="B86" s="357"/>
      <c r="C86" s="357"/>
      <c r="D86" s="341"/>
      <c r="E86" s="342"/>
    </row>
    <row r="87" spans="1:5" s="343" customFormat="1" ht="16.5" x14ac:dyDescent="0.2">
      <c r="A87" s="340"/>
      <c r="B87" s="357"/>
      <c r="C87" s="357"/>
      <c r="D87" s="341"/>
      <c r="E87" s="342"/>
    </row>
    <row r="88" spans="1:5" s="343" customFormat="1" ht="16.5" x14ac:dyDescent="0.2">
      <c r="A88" s="340"/>
      <c r="B88" s="357"/>
      <c r="C88" s="357"/>
      <c r="D88" s="341"/>
      <c r="E88" s="342"/>
    </row>
    <row r="90" spans="1:5" s="343" customFormat="1" ht="16.5" x14ac:dyDescent="0.2">
      <c r="A90" s="340"/>
      <c r="B90" s="357"/>
      <c r="C90" s="357"/>
      <c r="D90" s="341"/>
      <c r="E90" s="342"/>
    </row>
    <row r="91" spans="1:5" x14ac:dyDescent="0.2">
      <c r="A91" s="345"/>
      <c r="D91" s="348"/>
    </row>
    <row r="92" spans="1:5" x14ac:dyDescent="0.2">
      <c r="A92" s="345"/>
      <c r="D92" s="348"/>
    </row>
    <row r="93" spans="1:5" s="343" customFormat="1" ht="14.25" customHeight="1" x14ac:dyDescent="0.2">
      <c r="A93" s="364"/>
      <c r="E93" s="365"/>
    </row>
    <row r="94" spans="1:5" s="343" customFormat="1" x14ac:dyDescent="0.2">
      <c r="A94" s="364"/>
      <c r="E94" s="365"/>
    </row>
    <row r="95" spans="1:5" s="343" customFormat="1" x14ac:dyDescent="0.2">
      <c r="A95" s="364"/>
      <c r="E95" s="365"/>
    </row>
    <row r="96" spans="1:5" s="343" customFormat="1" x14ac:dyDescent="0.2">
      <c r="A96" s="364"/>
      <c r="E96" s="365"/>
    </row>
    <row r="97" spans="1:5" s="343" customFormat="1" x14ac:dyDescent="0.2">
      <c r="A97" s="364"/>
      <c r="E97" s="365"/>
    </row>
    <row r="98" spans="1:5" x14ac:dyDescent="0.2">
      <c r="A98" s="345"/>
      <c r="D98" s="348"/>
    </row>
    <row r="99" spans="1:5" x14ac:dyDescent="0.2">
      <c r="A99" s="345"/>
      <c r="D99" s="348"/>
    </row>
    <row r="100" spans="1:5" x14ac:dyDescent="0.2">
      <c r="A100" s="345"/>
      <c r="D100" s="348"/>
    </row>
    <row r="101" spans="1:5" x14ac:dyDescent="0.2">
      <c r="A101" s="345"/>
      <c r="D101" s="348"/>
    </row>
    <row r="102" spans="1:5" x14ac:dyDescent="0.2">
      <c r="A102" s="345"/>
      <c r="D102" s="348"/>
    </row>
    <row r="103" spans="1:5" x14ac:dyDescent="0.2">
      <c r="A103" s="345"/>
      <c r="D103" s="348"/>
    </row>
    <row r="104" spans="1:5" x14ac:dyDescent="0.2">
      <c r="A104" s="345"/>
      <c r="D104" s="348"/>
    </row>
    <row r="105" spans="1:5" x14ac:dyDescent="0.2">
      <c r="A105" s="345"/>
      <c r="D105" s="348"/>
    </row>
    <row r="106" spans="1:5" x14ac:dyDescent="0.2">
      <c r="A106" s="345"/>
      <c r="D106" s="348"/>
    </row>
    <row r="107" spans="1:5" x14ac:dyDescent="0.2">
      <c r="A107" s="345"/>
      <c r="D107" s="348"/>
    </row>
    <row r="108" spans="1:5" x14ac:dyDescent="0.2">
      <c r="A108" s="345"/>
      <c r="D108" s="348"/>
    </row>
    <row r="109" spans="1:5" x14ac:dyDescent="0.2">
      <c r="A109" s="345"/>
      <c r="D109" s="348"/>
    </row>
    <row r="110" spans="1:5" x14ac:dyDescent="0.2">
      <c r="A110" s="345"/>
      <c r="D110" s="348"/>
    </row>
    <row r="111" spans="1:5" x14ac:dyDescent="0.2">
      <c r="A111" s="345"/>
      <c r="D111" s="348"/>
    </row>
    <row r="112" spans="1:5" x14ac:dyDescent="0.2">
      <c r="A112" s="345"/>
      <c r="D112" s="348"/>
    </row>
    <row r="113" spans="1:4" x14ac:dyDescent="0.2">
      <c r="A113" s="345"/>
      <c r="D113" s="348"/>
    </row>
    <row r="114" spans="1:4" x14ac:dyDescent="0.2">
      <c r="A114" s="345"/>
      <c r="D114" s="348"/>
    </row>
    <row r="115" spans="1:4" x14ac:dyDescent="0.2">
      <c r="A115" s="345"/>
      <c r="D115" s="348"/>
    </row>
    <row r="116" spans="1:4" x14ac:dyDescent="0.2">
      <c r="A116" s="345"/>
      <c r="D116" s="348"/>
    </row>
    <row r="117" spans="1:4" x14ac:dyDescent="0.2">
      <c r="A117" s="345"/>
      <c r="D117" s="348"/>
    </row>
    <row r="118" spans="1:4" x14ac:dyDescent="0.2">
      <c r="A118" s="345"/>
      <c r="D118" s="348"/>
    </row>
    <row r="119" spans="1:4" x14ac:dyDescent="0.2">
      <c r="A119" s="345"/>
      <c r="D119" s="348"/>
    </row>
    <row r="120" spans="1:4" x14ac:dyDescent="0.2">
      <c r="A120" s="345"/>
      <c r="D120" s="348"/>
    </row>
    <row r="121" spans="1:4" x14ac:dyDescent="0.2">
      <c r="A121" s="345"/>
      <c r="D121" s="348"/>
    </row>
    <row r="122" spans="1:4" x14ac:dyDescent="0.2">
      <c r="A122" s="345"/>
      <c r="D122" s="348"/>
    </row>
    <row r="123" spans="1:4" x14ac:dyDescent="0.2">
      <c r="A123" s="345"/>
      <c r="D123" s="348"/>
    </row>
    <row r="124" spans="1:4" x14ac:dyDescent="0.2">
      <c r="A124" s="345"/>
      <c r="D124" s="348"/>
    </row>
    <row r="125" spans="1:4" x14ac:dyDescent="0.2">
      <c r="A125" s="345"/>
      <c r="D125" s="348"/>
    </row>
    <row r="126" spans="1:4" x14ac:dyDescent="0.2">
      <c r="A126" s="345"/>
      <c r="D126" s="348"/>
    </row>
    <row r="127" spans="1:4" x14ac:dyDescent="0.2">
      <c r="A127" s="345"/>
      <c r="D127" s="348"/>
    </row>
    <row r="128" spans="1:4" x14ac:dyDescent="0.2">
      <c r="A128" s="345"/>
      <c r="D128" s="348"/>
    </row>
    <row r="129" spans="1:5" x14ac:dyDescent="0.2">
      <c r="A129" s="345"/>
      <c r="D129" s="348"/>
    </row>
    <row r="130" spans="1:5" x14ac:dyDescent="0.2">
      <c r="A130" s="345"/>
      <c r="D130" s="348"/>
    </row>
    <row r="131" spans="1:5" x14ac:dyDescent="0.2">
      <c r="A131" s="345"/>
      <c r="D131" s="348"/>
    </row>
    <row r="132" spans="1:5" x14ac:dyDescent="0.2">
      <c r="A132" s="345"/>
      <c r="D132" s="348"/>
    </row>
    <row r="133" spans="1:5" x14ac:dyDescent="0.2">
      <c r="A133" s="345"/>
      <c r="D133" s="348"/>
    </row>
    <row r="134" spans="1:5" x14ac:dyDescent="0.2">
      <c r="A134" s="345"/>
      <c r="D134" s="348"/>
    </row>
    <row r="135" spans="1:5" x14ac:dyDescent="0.2">
      <c r="A135" s="345"/>
      <c r="D135" s="348"/>
    </row>
    <row r="136" spans="1:5" s="343" customFormat="1" x14ac:dyDescent="0.2">
      <c r="A136" s="364"/>
      <c r="E136" s="365"/>
    </row>
    <row r="137" spans="1:5" ht="16.5" x14ac:dyDescent="0.35">
      <c r="A137" s="366"/>
      <c r="B137" s="367"/>
      <c r="C137" s="367"/>
      <c r="D137" s="368"/>
      <c r="E137" s="369"/>
    </row>
    <row r="139" spans="1:5" ht="16.5" x14ac:dyDescent="0.35">
      <c r="A139" s="366"/>
      <c r="B139" s="367"/>
      <c r="C139" s="367"/>
      <c r="D139" s="368"/>
      <c r="E139" s="370"/>
    </row>
  </sheetData>
  <phoneticPr fontId="0" type="noConversion"/>
  <pageMargins left="0.74803149606299213" right="0.74803149606299213" top="0.78740157480314965" bottom="0.59055118110236227" header="0.51181102362204722" footer="0.51181102362204722"/>
  <pageSetup paperSize="9" firstPageNumber="0" orientation="portrait"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E21" sqref="E21"/>
    </sheetView>
  </sheetViews>
  <sheetFormatPr defaultRowHeight="12.75" x14ac:dyDescent="0.2"/>
  <cols>
    <col min="1" max="1" width="9.140625" style="119" customWidth="1"/>
    <col min="2" max="2" width="29.140625" customWidth="1"/>
    <col min="4" max="4" width="11" customWidth="1"/>
  </cols>
  <sheetData>
    <row r="1" spans="1:5" ht="49.5" x14ac:dyDescent="0.3">
      <c r="A1" s="113" t="s">
        <v>110</v>
      </c>
      <c r="B1" s="120" t="s">
        <v>115</v>
      </c>
      <c r="C1" s="114" t="s">
        <v>116</v>
      </c>
      <c r="D1" s="115" t="s">
        <v>117</v>
      </c>
      <c r="E1" s="121"/>
    </row>
    <row r="2" spans="1:5" ht="16.5" x14ac:dyDescent="0.3">
      <c r="A2" s="113">
        <v>0</v>
      </c>
      <c r="B2" s="248" t="s">
        <v>118</v>
      </c>
      <c r="C2" s="114">
        <v>0</v>
      </c>
      <c r="D2" s="115">
        <v>0</v>
      </c>
      <c r="E2" s="121"/>
    </row>
    <row r="3" spans="1:5" ht="16.5" x14ac:dyDescent="0.3">
      <c r="A3" s="113">
        <v>1</v>
      </c>
      <c r="B3" s="118" t="s">
        <v>119</v>
      </c>
      <c r="C3" s="117">
        <v>99</v>
      </c>
      <c r="D3" s="117">
        <v>30</v>
      </c>
      <c r="E3" s="121"/>
    </row>
    <row r="4" spans="1:5" ht="16.5" x14ac:dyDescent="0.35">
      <c r="A4" s="116">
        <v>2</v>
      </c>
      <c r="B4" s="118" t="s">
        <v>124</v>
      </c>
      <c r="C4" s="117">
        <v>99</v>
      </c>
      <c r="D4" s="117">
        <v>10</v>
      </c>
      <c r="E4" s="121"/>
    </row>
    <row r="5" spans="1:5" ht="16.5" x14ac:dyDescent="0.35">
      <c r="A5" s="116">
        <v>3</v>
      </c>
      <c r="B5" s="118" t="s">
        <v>120</v>
      </c>
      <c r="C5" s="117">
        <v>80</v>
      </c>
      <c r="D5" s="117">
        <v>2</v>
      </c>
      <c r="E5" s="121"/>
    </row>
    <row r="6" spans="1:5" ht="16.5" x14ac:dyDescent="0.3">
      <c r="A6" s="113">
        <v>4</v>
      </c>
      <c r="B6" s="121" t="s">
        <v>1038</v>
      </c>
      <c r="C6" s="269">
        <v>98</v>
      </c>
      <c r="D6" s="269">
        <v>200</v>
      </c>
      <c r="E6" s="121"/>
    </row>
    <row r="7" spans="1:5" s="112" customFormat="1" ht="16.5" x14ac:dyDescent="0.35">
      <c r="A7" s="116">
        <v>5</v>
      </c>
      <c r="B7" s="118" t="s">
        <v>1040</v>
      </c>
      <c r="C7" s="117">
        <v>77</v>
      </c>
      <c r="D7" s="117">
        <v>35</v>
      </c>
      <c r="E7" s="118"/>
    </row>
    <row r="8" spans="1:5" ht="16.5" x14ac:dyDescent="0.3">
      <c r="A8" s="113">
        <v>6</v>
      </c>
      <c r="B8" s="118" t="s">
        <v>1039</v>
      </c>
      <c r="C8" s="117">
        <v>77</v>
      </c>
      <c r="D8" s="117">
        <v>0.1</v>
      </c>
      <c r="E8" s="121"/>
    </row>
    <row r="9" spans="1:5" ht="16.5" x14ac:dyDescent="0.35">
      <c r="A9" s="116">
        <v>7</v>
      </c>
      <c r="B9" s="121" t="s">
        <v>1037</v>
      </c>
      <c r="C9" s="269">
        <v>98</v>
      </c>
      <c r="D9" s="269">
        <v>9500</v>
      </c>
      <c r="E9" s="121"/>
    </row>
    <row r="10" spans="1:5" ht="16.5" x14ac:dyDescent="0.35">
      <c r="A10" s="116">
        <v>8</v>
      </c>
      <c r="B10" s="118" t="s">
        <v>121</v>
      </c>
      <c r="C10" s="117">
        <v>100</v>
      </c>
      <c r="D10" s="117">
        <v>0.1</v>
      </c>
      <c r="E10" s="121"/>
    </row>
    <row r="11" spans="1:5" ht="16.5" x14ac:dyDescent="0.35">
      <c r="A11" s="124">
        <v>9</v>
      </c>
      <c r="B11" s="118" t="s">
        <v>122</v>
      </c>
      <c r="C11" s="117">
        <v>98</v>
      </c>
      <c r="D11" s="117">
        <v>6</v>
      </c>
      <c r="E11" s="121"/>
    </row>
    <row r="12" spans="1:5" ht="16.5" x14ac:dyDescent="0.35">
      <c r="A12" s="124">
        <v>10</v>
      </c>
      <c r="B12" s="118" t="s">
        <v>123</v>
      </c>
      <c r="C12" s="117">
        <v>98</v>
      </c>
      <c r="D12" s="117">
        <v>30</v>
      </c>
      <c r="E12" s="121"/>
    </row>
    <row r="13" spans="1:5" ht="16.5" x14ac:dyDescent="0.35">
      <c r="A13" s="122"/>
      <c r="B13" s="121"/>
      <c r="C13" s="269"/>
      <c r="D13" s="269"/>
      <c r="E13" s="121"/>
    </row>
    <row r="14" spans="1:5" ht="16.5" x14ac:dyDescent="0.35">
      <c r="A14" s="122"/>
      <c r="B14" s="121"/>
      <c r="C14" s="121"/>
      <c r="D14" s="121"/>
      <c r="E14" s="121"/>
    </row>
    <row r="15" spans="1:5" ht="16.5" x14ac:dyDescent="0.35">
      <c r="A15" s="122"/>
      <c r="B15" s="121"/>
      <c r="C15" s="121"/>
      <c r="D15" s="121"/>
      <c r="E15" s="121"/>
    </row>
  </sheetData>
  <sheetProtection sheet="1" objects="1" scenarios="1" selectLockedCells="1" selectUnlockedCells="1"/>
  <phoneticPr fontId="0" type="noConversion"/>
  <pageMargins left="0.75" right="0.75" top="1" bottom="1" header="0.51180555555555551" footer="0.51180555555555551"/>
  <pageSetup paperSize="9" firstPageNumber="0" orientation="portrait"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topLeftCell="A4" zoomScale="85" zoomScaleNormal="85" workbookViewId="0">
      <selection activeCell="G16" sqref="G16"/>
    </sheetView>
  </sheetViews>
  <sheetFormatPr defaultColWidth="9.140625" defaultRowHeight="15" x14ac:dyDescent="0.3"/>
  <cols>
    <col min="1" max="1" width="10.7109375" style="269" customWidth="1"/>
    <col min="2" max="2" width="25.85546875" style="121" customWidth="1"/>
    <col min="3" max="3" width="31.5703125" style="121" customWidth="1"/>
    <col min="4" max="4" width="26.42578125" style="121" customWidth="1"/>
    <col min="5" max="5" width="17.42578125" style="337" customWidth="1"/>
    <col min="6" max="6" width="13.28515625" style="269" customWidth="1"/>
    <col min="7" max="7" width="13.28515625" style="339" customWidth="1"/>
    <col min="8" max="10" width="5.140625" style="269" customWidth="1"/>
    <col min="11" max="16384" width="9.140625" style="121"/>
  </cols>
  <sheetData>
    <row r="1" spans="1:10" s="125" customFormat="1" ht="43.5" customHeight="1" x14ac:dyDescent="0.3">
      <c r="A1" s="331" t="s">
        <v>125</v>
      </c>
      <c r="B1" s="331" t="s">
        <v>457</v>
      </c>
      <c r="C1" s="331" t="s">
        <v>511</v>
      </c>
      <c r="D1" s="331" t="s">
        <v>453</v>
      </c>
      <c r="E1" s="332" t="s">
        <v>665</v>
      </c>
      <c r="F1" s="331" t="s">
        <v>510</v>
      </c>
      <c r="G1" s="602" t="s">
        <v>1031</v>
      </c>
      <c r="H1" s="600" t="s">
        <v>126</v>
      </c>
      <c r="I1" s="600"/>
      <c r="J1" s="600"/>
    </row>
    <row r="2" spans="1:10" ht="48" customHeight="1" x14ac:dyDescent="0.3">
      <c r="A2" s="333">
        <v>0</v>
      </c>
      <c r="B2" s="233" t="s">
        <v>138</v>
      </c>
      <c r="C2" s="233"/>
      <c r="D2" s="233"/>
      <c r="E2" s="334" t="s">
        <v>644</v>
      </c>
      <c r="F2" s="333"/>
      <c r="G2" s="602"/>
      <c r="H2" s="335" t="s">
        <v>127</v>
      </c>
      <c r="I2" s="335" t="s">
        <v>128</v>
      </c>
      <c r="J2" s="335" t="s">
        <v>720</v>
      </c>
    </row>
    <row r="3" spans="1:10" s="336" customFormat="1" ht="21" customHeight="1" x14ac:dyDescent="0.2">
      <c r="A3" s="601" t="s">
        <v>512</v>
      </c>
      <c r="B3" s="601"/>
      <c r="C3" s="601"/>
      <c r="D3" s="601"/>
      <c r="E3" s="601"/>
      <c r="F3" s="601"/>
      <c r="G3" s="601"/>
      <c r="H3" s="601"/>
      <c r="I3" s="601"/>
      <c r="J3" s="601"/>
    </row>
    <row r="4" spans="1:10" ht="21" customHeight="1" x14ac:dyDescent="0.35">
      <c r="A4" s="124">
        <v>1</v>
      </c>
      <c r="B4" s="121" t="s">
        <v>872</v>
      </c>
      <c r="C4" s="121" t="s">
        <v>455</v>
      </c>
      <c r="D4" s="121" t="s">
        <v>456</v>
      </c>
      <c r="E4" s="337">
        <v>4</v>
      </c>
      <c r="F4" s="269" t="s">
        <v>926</v>
      </c>
      <c r="G4" s="338"/>
      <c r="H4" s="269" t="s">
        <v>131</v>
      </c>
      <c r="I4" s="269" t="s">
        <v>36</v>
      </c>
      <c r="J4" s="269" t="s">
        <v>134</v>
      </c>
    </row>
    <row r="5" spans="1:10" ht="21" customHeight="1" x14ac:dyDescent="0.35">
      <c r="A5" s="124">
        <v>2</v>
      </c>
      <c r="B5" s="121" t="s">
        <v>715</v>
      </c>
      <c r="C5" s="121" t="s">
        <v>461</v>
      </c>
      <c r="D5" s="121" t="s">
        <v>454</v>
      </c>
      <c r="E5" s="337">
        <v>8.9</v>
      </c>
      <c r="F5" s="269" t="s">
        <v>435</v>
      </c>
      <c r="G5" s="338"/>
      <c r="H5" s="269" t="s">
        <v>130</v>
      </c>
    </row>
    <row r="6" spans="1:10" ht="21" customHeight="1" x14ac:dyDescent="0.35">
      <c r="A6" s="124">
        <v>3</v>
      </c>
      <c r="B6" s="121" t="s">
        <v>862</v>
      </c>
      <c r="D6" s="121" t="s">
        <v>458</v>
      </c>
      <c r="E6" s="337">
        <v>15</v>
      </c>
      <c r="F6" s="269" t="s">
        <v>927</v>
      </c>
      <c r="G6" s="338"/>
      <c r="I6" s="269" t="s">
        <v>459</v>
      </c>
    </row>
    <row r="7" spans="1:10" ht="21" customHeight="1" x14ac:dyDescent="0.35">
      <c r="A7" s="124">
        <v>4</v>
      </c>
      <c r="B7" s="121" t="s">
        <v>863</v>
      </c>
      <c r="C7" s="121" t="s">
        <v>460</v>
      </c>
      <c r="D7" s="121" t="s">
        <v>476</v>
      </c>
      <c r="E7" s="337">
        <v>1</v>
      </c>
      <c r="F7" s="269" t="s">
        <v>928</v>
      </c>
      <c r="G7" s="338">
        <v>5.7</v>
      </c>
      <c r="H7" s="269" t="s">
        <v>131</v>
      </c>
    </row>
    <row r="8" spans="1:10" ht="21" customHeight="1" x14ac:dyDescent="0.35">
      <c r="A8" s="124">
        <v>5</v>
      </c>
      <c r="B8" s="121" t="s">
        <v>864</v>
      </c>
      <c r="C8" s="121" t="s">
        <v>462</v>
      </c>
      <c r="D8" s="121" t="s">
        <v>477</v>
      </c>
      <c r="E8" s="337" t="s">
        <v>493</v>
      </c>
      <c r="F8" s="269" t="s">
        <v>929</v>
      </c>
      <c r="G8" s="338"/>
      <c r="I8" s="269" t="s">
        <v>36</v>
      </c>
    </row>
    <row r="9" spans="1:10" ht="21" customHeight="1" x14ac:dyDescent="0.35">
      <c r="A9" s="124">
        <v>6</v>
      </c>
      <c r="B9" s="121" t="s">
        <v>716</v>
      </c>
      <c r="C9" s="121" t="s">
        <v>463</v>
      </c>
      <c r="D9" s="121" t="s">
        <v>478</v>
      </c>
      <c r="E9" s="337" t="s">
        <v>494</v>
      </c>
      <c r="G9" s="338"/>
      <c r="I9" s="269" t="s">
        <v>36</v>
      </c>
    </row>
    <row r="10" spans="1:10" ht="21" customHeight="1" x14ac:dyDescent="0.35">
      <c r="A10" s="124">
        <v>7</v>
      </c>
      <c r="B10" s="121" t="s">
        <v>717</v>
      </c>
      <c r="C10" s="121" t="s">
        <v>464</v>
      </c>
      <c r="D10" s="121" t="s">
        <v>479</v>
      </c>
      <c r="E10" s="337" t="s">
        <v>495</v>
      </c>
      <c r="G10" s="338"/>
      <c r="H10" s="269" t="s">
        <v>131</v>
      </c>
    </row>
    <row r="11" spans="1:10" ht="21" customHeight="1" x14ac:dyDescent="0.35">
      <c r="A11" s="124">
        <v>8</v>
      </c>
      <c r="B11" s="121" t="s">
        <v>857</v>
      </c>
      <c r="C11" s="121" t="s">
        <v>465</v>
      </c>
      <c r="D11" s="121" t="s">
        <v>480</v>
      </c>
      <c r="E11" s="337" t="s">
        <v>496</v>
      </c>
      <c r="F11" s="269" t="s">
        <v>930</v>
      </c>
      <c r="G11" s="338">
        <v>5.4</v>
      </c>
      <c r="H11" s="269" t="s">
        <v>131</v>
      </c>
      <c r="J11" s="269" t="s">
        <v>508</v>
      </c>
    </row>
    <row r="12" spans="1:10" ht="21" customHeight="1" x14ac:dyDescent="0.35">
      <c r="A12" s="124">
        <v>9</v>
      </c>
      <c r="B12" s="121" t="s">
        <v>865</v>
      </c>
      <c r="C12" s="121" t="s">
        <v>466</v>
      </c>
      <c r="D12" s="121" t="s">
        <v>481</v>
      </c>
      <c r="E12" s="337" t="s">
        <v>497</v>
      </c>
      <c r="F12" s="269" t="s">
        <v>931</v>
      </c>
      <c r="G12" s="338"/>
      <c r="H12" s="269" t="s">
        <v>131</v>
      </c>
      <c r="J12" s="269" t="s">
        <v>508</v>
      </c>
    </row>
    <row r="13" spans="1:10" ht="21" customHeight="1" x14ac:dyDescent="0.35">
      <c r="A13" s="124">
        <v>10</v>
      </c>
      <c r="B13" s="121" t="s">
        <v>718</v>
      </c>
      <c r="C13" s="121" t="s">
        <v>467</v>
      </c>
      <c r="D13" s="121" t="s">
        <v>482</v>
      </c>
      <c r="E13" s="337" t="s">
        <v>498</v>
      </c>
      <c r="G13" s="338"/>
      <c r="I13" s="269" t="s">
        <v>36</v>
      </c>
    </row>
    <row r="14" spans="1:10" ht="21" customHeight="1" x14ac:dyDescent="0.35">
      <c r="A14" s="124">
        <v>11</v>
      </c>
      <c r="B14" s="121" t="s">
        <v>858</v>
      </c>
      <c r="C14" s="121" t="s">
        <v>468</v>
      </c>
      <c r="D14" s="121" t="s">
        <v>483</v>
      </c>
      <c r="E14" s="337" t="s">
        <v>499</v>
      </c>
      <c r="F14" s="269" t="s">
        <v>932</v>
      </c>
      <c r="G14" s="338"/>
      <c r="H14" s="269" t="s">
        <v>131</v>
      </c>
    </row>
    <row r="15" spans="1:10" ht="21" customHeight="1" x14ac:dyDescent="0.35">
      <c r="A15" s="124">
        <v>12</v>
      </c>
      <c r="B15" s="121" t="s">
        <v>859</v>
      </c>
      <c r="C15" s="121" t="s">
        <v>468</v>
      </c>
      <c r="D15" s="121" t="s">
        <v>479</v>
      </c>
      <c r="E15" s="337" t="s">
        <v>500</v>
      </c>
      <c r="F15" s="269" t="s">
        <v>933</v>
      </c>
      <c r="G15" s="338">
        <v>4.8</v>
      </c>
      <c r="H15" s="269" t="s">
        <v>131</v>
      </c>
    </row>
    <row r="16" spans="1:10" ht="21" customHeight="1" x14ac:dyDescent="0.35">
      <c r="A16" s="124">
        <v>13</v>
      </c>
      <c r="B16" s="121" t="s">
        <v>860</v>
      </c>
      <c r="C16" s="121" t="s">
        <v>469</v>
      </c>
      <c r="D16" s="121" t="s">
        <v>484</v>
      </c>
      <c r="E16" s="337" t="s">
        <v>501</v>
      </c>
      <c r="F16" s="269" t="s">
        <v>934</v>
      </c>
      <c r="G16" s="338">
        <v>5.7</v>
      </c>
      <c r="H16" s="269" t="s">
        <v>131</v>
      </c>
      <c r="I16" s="269" t="s">
        <v>36</v>
      </c>
    </row>
    <row r="17" spans="1:10" ht="21" customHeight="1" x14ac:dyDescent="0.35">
      <c r="A17" s="124">
        <v>14</v>
      </c>
      <c r="B17" s="121" t="s">
        <v>861</v>
      </c>
      <c r="C17" s="121" t="s">
        <v>470</v>
      </c>
      <c r="D17" s="121" t="s">
        <v>485</v>
      </c>
      <c r="E17" s="337" t="s">
        <v>502</v>
      </c>
      <c r="F17" s="269" t="s">
        <v>935</v>
      </c>
      <c r="G17" s="338">
        <v>12.1</v>
      </c>
      <c r="I17" s="269" t="s">
        <v>36</v>
      </c>
    </row>
    <row r="18" spans="1:10" ht="21" customHeight="1" x14ac:dyDescent="0.35">
      <c r="A18" s="124">
        <v>15</v>
      </c>
      <c r="B18" s="121" t="s">
        <v>866</v>
      </c>
      <c r="C18" s="121" t="s">
        <v>471</v>
      </c>
      <c r="D18" s="121" t="s">
        <v>486</v>
      </c>
      <c r="E18" s="337" t="s">
        <v>498</v>
      </c>
      <c r="F18" s="269" t="s">
        <v>936</v>
      </c>
      <c r="G18" s="338">
        <v>6.8</v>
      </c>
      <c r="H18" s="269" t="s">
        <v>131</v>
      </c>
      <c r="I18" s="269" t="s">
        <v>36</v>
      </c>
    </row>
    <row r="19" spans="1:10" ht="21" customHeight="1" x14ac:dyDescent="0.35">
      <c r="A19" s="124">
        <v>16</v>
      </c>
      <c r="B19" s="121" t="s">
        <v>719</v>
      </c>
      <c r="C19" s="121" t="s">
        <v>472</v>
      </c>
      <c r="D19" s="121" t="s">
        <v>484</v>
      </c>
      <c r="E19" s="337" t="s">
        <v>503</v>
      </c>
      <c r="G19" s="338"/>
      <c r="I19" s="269" t="s">
        <v>36</v>
      </c>
    </row>
    <row r="20" spans="1:10" ht="21" customHeight="1" x14ac:dyDescent="0.35">
      <c r="A20" s="124">
        <v>17</v>
      </c>
      <c r="B20" s="121" t="s">
        <v>937</v>
      </c>
      <c r="C20" s="121" t="s">
        <v>470</v>
      </c>
      <c r="D20" s="121" t="s">
        <v>487</v>
      </c>
      <c r="E20" s="337" t="s">
        <v>498</v>
      </c>
      <c r="F20" s="269" t="s">
        <v>938</v>
      </c>
      <c r="G20" s="338">
        <v>4.7</v>
      </c>
      <c r="H20" s="269" t="s">
        <v>131</v>
      </c>
      <c r="I20" s="269" t="s">
        <v>36</v>
      </c>
    </row>
    <row r="21" spans="1:10" ht="21" customHeight="1" x14ac:dyDescent="0.35">
      <c r="A21" s="124">
        <v>18</v>
      </c>
      <c r="B21" s="121" t="s">
        <v>867</v>
      </c>
      <c r="C21" s="121" t="s">
        <v>473</v>
      </c>
      <c r="D21" s="121" t="s">
        <v>488</v>
      </c>
      <c r="E21" s="337" t="s">
        <v>504</v>
      </c>
      <c r="F21" s="269" t="s">
        <v>930</v>
      </c>
      <c r="G21" s="338"/>
      <c r="H21" s="269" t="s">
        <v>131</v>
      </c>
    </row>
    <row r="22" spans="1:10" ht="21" customHeight="1" x14ac:dyDescent="0.35">
      <c r="A22" s="124">
        <v>19</v>
      </c>
      <c r="B22" s="121" t="s">
        <v>868</v>
      </c>
      <c r="D22" s="121" t="s">
        <v>489</v>
      </c>
      <c r="E22" s="337" t="s">
        <v>505</v>
      </c>
      <c r="F22" s="269" t="s">
        <v>939</v>
      </c>
      <c r="G22" s="338">
        <v>5</v>
      </c>
      <c r="H22" s="269" t="s">
        <v>131</v>
      </c>
    </row>
    <row r="23" spans="1:10" ht="21" customHeight="1" x14ac:dyDescent="0.35">
      <c r="A23" s="124">
        <v>20</v>
      </c>
      <c r="B23" s="121" t="s">
        <v>869</v>
      </c>
      <c r="C23" s="121" t="s">
        <v>461</v>
      </c>
      <c r="D23" s="121" t="s">
        <v>490</v>
      </c>
      <c r="E23" s="337" t="s">
        <v>498</v>
      </c>
      <c r="F23" s="269" t="s">
        <v>940</v>
      </c>
      <c r="G23" s="338"/>
      <c r="I23" s="269" t="s">
        <v>36</v>
      </c>
      <c r="J23" s="269" t="s">
        <v>134</v>
      </c>
    </row>
    <row r="24" spans="1:10" ht="21" customHeight="1" x14ac:dyDescent="0.35">
      <c r="A24" s="124">
        <v>21</v>
      </c>
      <c r="B24" s="121" t="s">
        <v>870</v>
      </c>
      <c r="C24" s="121" t="s">
        <v>474</v>
      </c>
      <c r="D24" s="121" t="s">
        <v>491</v>
      </c>
      <c r="E24" s="337" t="s">
        <v>506</v>
      </c>
      <c r="F24" s="269" t="s">
        <v>941</v>
      </c>
      <c r="G24" s="338"/>
      <c r="H24" s="269" t="s">
        <v>131</v>
      </c>
    </row>
    <row r="25" spans="1:10" ht="21" customHeight="1" x14ac:dyDescent="0.35">
      <c r="A25" s="124">
        <v>22</v>
      </c>
      <c r="B25" s="121" t="s">
        <v>871</v>
      </c>
      <c r="C25" s="121" t="s">
        <v>475</v>
      </c>
      <c r="D25" s="121" t="s">
        <v>492</v>
      </c>
      <c r="E25" s="337" t="s">
        <v>507</v>
      </c>
      <c r="F25" s="269" t="s">
        <v>941</v>
      </c>
      <c r="G25" s="338"/>
      <c r="H25" s="269" t="s">
        <v>131</v>
      </c>
    </row>
    <row r="26" spans="1:10" ht="21" customHeight="1" x14ac:dyDescent="0.35">
      <c r="A26" s="124">
        <v>23</v>
      </c>
      <c r="G26" s="338"/>
    </row>
    <row r="27" spans="1:10" ht="21" customHeight="1" x14ac:dyDescent="0.35">
      <c r="A27" s="124">
        <v>24</v>
      </c>
      <c r="G27" s="338"/>
    </row>
    <row r="28" spans="1:10" ht="19.5" x14ac:dyDescent="0.3">
      <c r="A28" s="601" t="s">
        <v>554</v>
      </c>
      <c r="B28" s="601"/>
      <c r="C28" s="601"/>
      <c r="D28" s="601"/>
      <c r="E28" s="601"/>
      <c r="F28" s="601"/>
      <c r="G28" s="601"/>
      <c r="H28" s="601"/>
      <c r="I28" s="601"/>
      <c r="J28" s="601"/>
    </row>
    <row r="29" spans="1:10" ht="21" customHeight="1" x14ac:dyDescent="0.35">
      <c r="A29" s="124">
        <v>101</v>
      </c>
      <c r="B29" s="121" t="s">
        <v>513</v>
      </c>
      <c r="C29" s="121" t="s">
        <v>555</v>
      </c>
      <c r="D29" s="121" t="s">
        <v>595</v>
      </c>
      <c r="E29" s="337" t="s">
        <v>503</v>
      </c>
      <c r="F29" s="269" t="s">
        <v>666</v>
      </c>
      <c r="G29" s="338"/>
      <c r="I29" s="269" t="s">
        <v>36</v>
      </c>
    </row>
    <row r="30" spans="1:10" ht="21" customHeight="1" x14ac:dyDescent="0.35">
      <c r="A30" s="124">
        <v>102</v>
      </c>
      <c r="B30" s="121" t="s">
        <v>514</v>
      </c>
      <c r="C30" s="121" t="s">
        <v>556</v>
      </c>
      <c r="D30" s="121" t="s">
        <v>596</v>
      </c>
      <c r="E30" s="337" t="s">
        <v>631</v>
      </c>
      <c r="F30" s="269" t="s">
        <v>667</v>
      </c>
      <c r="G30" s="338"/>
      <c r="I30" s="269" t="s">
        <v>36</v>
      </c>
    </row>
    <row r="31" spans="1:10" ht="21" customHeight="1" x14ac:dyDescent="0.35">
      <c r="A31" s="124">
        <v>103</v>
      </c>
      <c r="B31" s="121" t="s">
        <v>515</v>
      </c>
      <c r="C31" s="121" t="s">
        <v>557</v>
      </c>
      <c r="D31" s="121" t="s">
        <v>597</v>
      </c>
      <c r="E31" s="337" t="s">
        <v>632</v>
      </c>
      <c r="F31" s="269" t="s">
        <v>668</v>
      </c>
      <c r="G31" s="338"/>
    </row>
    <row r="32" spans="1:10" ht="21" customHeight="1" x14ac:dyDescent="0.35">
      <c r="A32" s="124">
        <v>104</v>
      </c>
      <c r="B32" s="121" t="s">
        <v>874</v>
      </c>
      <c r="C32" s="121" t="s">
        <v>558</v>
      </c>
      <c r="D32" s="121" t="s">
        <v>596</v>
      </c>
      <c r="E32" s="337" t="s">
        <v>631</v>
      </c>
      <c r="F32" s="269" t="s">
        <v>669</v>
      </c>
      <c r="G32" s="338"/>
      <c r="I32" s="269" t="s">
        <v>36</v>
      </c>
    </row>
    <row r="33" spans="1:10" ht="21" customHeight="1" x14ac:dyDescent="0.35">
      <c r="A33" s="124">
        <v>105</v>
      </c>
      <c r="B33" s="121" t="s">
        <v>129</v>
      </c>
      <c r="C33" s="121" t="s">
        <v>559</v>
      </c>
      <c r="D33" s="121" t="s">
        <v>598</v>
      </c>
      <c r="E33" s="337" t="s">
        <v>633</v>
      </c>
      <c r="F33" s="269" t="s">
        <v>670</v>
      </c>
      <c r="G33" s="338"/>
      <c r="I33" s="269" t="s">
        <v>36</v>
      </c>
    </row>
    <row r="34" spans="1:10" ht="21" customHeight="1" x14ac:dyDescent="0.35">
      <c r="A34" s="124">
        <v>106</v>
      </c>
      <c r="B34" s="121" t="s">
        <v>516</v>
      </c>
      <c r="C34" s="121" t="s">
        <v>472</v>
      </c>
      <c r="D34" s="121" t="s">
        <v>599</v>
      </c>
      <c r="E34" s="337" t="s">
        <v>634</v>
      </c>
      <c r="F34" s="269" t="s">
        <v>671</v>
      </c>
      <c r="G34" s="338"/>
      <c r="H34" s="269" t="s">
        <v>131</v>
      </c>
    </row>
    <row r="35" spans="1:10" ht="21" customHeight="1" x14ac:dyDescent="0.35">
      <c r="A35" s="124">
        <v>107</v>
      </c>
      <c r="B35" s="121" t="s">
        <v>517</v>
      </c>
      <c r="C35" s="121" t="s">
        <v>560</v>
      </c>
      <c r="D35" s="121" t="s">
        <v>600</v>
      </c>
      <c r="E35" s="337" t="s">
        <v>634</v>
      </c>
      <c r="F35" s="269" t="s">
        <v>672</v>
      </c>
      <c r="G35" s="338"/>
      <c r="H35" s="269" t="s">
        <v>131</v>
      </c>
    </row>
    <row r="36" spans="1:10" ht="21" customHeight="1" x14ac:dyDescent="0.35">
      <c r="A36" s="124">
        <v>108</v>
      </c>
      <c r="B36" s="121" t="s">
        <v>132</v>
      </c>
      <c r="C36" s="121" t="s">
        <v>561</v>
      </c>
      <c r="D36" s="121" t="s">
        <v>458</v>
      </c>
      <c r="E36" s="337" t="s">
        <v>434</v>
      </c>
      <c r="F36" s="269" t="s">
        <v>673</v>
      </c>
      <c r="G36" s="338"/>
      <c r="H36" s="269" t="s">
        <v>131</v>
      </c>
    </row>
    <row r="37" spans="1:10" ht="21" customHeight="1" x14ac:dyDescent="0.35">
      <c r="A37" s="124">
        <v>109</v>
      </c>
      <c r="B37" s="121" t="s">
        <v>518</v>
      </c>
      <c r="C37" s="121" t="s">
        <v>562</v>
      </c>
      <c r="D37" s="121" t="s">
        <v>601</v>
      </c>
      <c r="E37" s="337" t="s">
        <v>635</v>
      </c>
      <c r="F37" s="269" t="s">
        <v>674</v>
      </c>
      <c r="G37" s="338"/>
      <c r="I37" s="269" t="s">
        <v>36</v>
      </c>
      <c r="J37" s="269" t="s">
        <v>134</v>
      </c>
    </row>
    <row r="38" spans="1:10" ht="21" customHeight="1" x14ac:dyDescent="0.35">
      <c r="A38" s="124">
        <v>110</v>
      </c>
      <c r="B38" s="121" t="s">
        <v>133</v>
      </c>
      <c r="C38" s="121" t="s">
        <v>563</v>
      </c>
      <c r="D38" s="121" t="s">
        <v>602</v>
      </c>
      <c r="E38" s="337" t="s">
        <v>636</v>
      </c>
      <c r="F38" s="269" t="s">
        <v>675</v>
      </c>
      <c r="G38" s="338"/>
      <c r="I38" s="269" t="s">
        <v>36</v>
      </c>
    </row>
    <row r="39" spans="1:10" ht="21" customHeight="1" x14ac:dyDescent="0.35">
      <c r="A39" s="124">
        <v>111</v>
      </c>
      <c r="B39" s="121" t="s">
        <v>519</v>
      </c>
      <c r="C39" s="121" t="s">
        <v>564</v>
      </c>
      <c r="D39" s="121" t="s">
        <v>603</v>
      </c>
      <c r="E39" s="337" t="s">
        <v>637</v>
      </c>
      <c r="F39" s="269" t="s">
        <v>676</v>
      </c>
      <c r="G39" s="338"/>
      <c r="H39" s="269" t="s">
        <v>131</v>
      </c>
    </row>
    <row r="40" spans="1:10" ht="21" customHeight="1" x14ac:dyDescent="0.35">
      <c r="A40" s="124">
        <v>112</v>
      </c>
      <c r="B40" s="121" t="s">
        <v>875</v>
      </c>
      <c r="C40" s="121" t="s">
        <v>565</v>
      </c>
      <c r="D40" s="121" t="s">
        <v>604</v>
      </c>
      <c r="E40" s="337" t="s">
        <v>496</v>
      </c>
      <c r="F40" s="269" t="s">
        <v>677</v>
      </c>
      <c r="G40" s="338"/>
      <c r="H40" s="269" t="s">
        <v>131</v>
      </c>
    </row>
    <row r="41" spans="1:10" ht="21" customHeight="1" x14ac:dyDescent="0.35">
      <c r="A41" s="124">
        <v>113</v>
      </c>
      <c r="B41" s="121" t="s">
        <v>520</v>
      </c>
      <c r="C41" s="121" t="s">
        <v>566</v>
      </c>
      <c r="D41" s="121" t="s">
        <v>605</v>
      </c>
      <c r="E41" s="337" t="s">
        <v>638</v>
      </c>
      <c r="F41" s="269" t="s">
        <v>678</v>
      </c>
      <c r="G41" s="338"/>
      <c r="H41" s="269" t="s">
        <v>131</v>
      </c>
    </row>
    <row r="42" spans="1:10" ht="21" customHeight="1" x14ac:dyDescent="0.35">
      <c r="A42" s="124">
        <v>114</v>
      </c>
      <c r="B42" s="121" t="s">
        <v>873</v>
      </c>
      <c r="C42" s="121" t="s">
        <v>567</v>
      </c>
      <c r="D42" s="121" t="s">
        <v>606</v>
      </c>
      <c r="E42" s="337" t="s">
        <v>505</v>
      </c>
      <c r="F42" s="269" t="s">
        <v>679</v>
      </c>
      <c r="G42" s="338"/>
      <c r="H42" s="269" t="s">
        <v>131</v>
      </c>
    </row>
    <row r="43" spans="1:10" ht="21" customHeight="1" x14ac:dyDescent="0.35">
      <c r="A43" s="124">
        <v>115</v>
      </c>
      <c r="B43" s="121" t="s">
        <v>521</v>
      </c>
      <c r="C43" s="121" t="s">
        <v>568</v>
      </c>
      <c r="D43" s="121" t="s">
        <v>486</v>
      </c>
      <c r="E43" s="337" t="s">
        <v>639</v>
      </c>
      <c r="F43" s="269" t="s">
        <v>675</v>
      </c>
      <c r="G43" s="338"/>
      <c r="H43" s="269" t="s">
        <v>131</v>
      </c>
      <c r="I43" s="269" t="s">
        <v>36</v>
      </c>
    </row>
    <row r="44" spans="1:10" ht="21" customHeight="1" x14ac:dyDescent="0.35">
      <c r="A44" s="124">
        <v>116</v>
      </c>
      <c r="B44" s="121" t="s">
        <v>876</v>
      </c>
      <c r="C44" s="121" t="s">
        <v>569</v>
      </c>
      <c r="D44" s="121" t="s">
        <v>607</v>
      </c>
      <c r="E44" s="337" t="s">
        <v>642</v>
      </c>
      <c r="F44" s="269" t="s">
        <v>680</v>
      </c>
      <c r="G44" s="338"/>
      <c r="H44" s="269" t="s">
        <v>131</v>
      </c>
    </row>
    <row r="45" spans="1:10" ht="21" customHeight="1" x14ac:dyDescent="0.35">
      <c r="A45" s="124">
        <v>117</v>
      </c>
      <c r="B45" s="121" t="s">
        <v>522</v>
      </c>
      <c r="C45" s="121" t="s">
        <v>570</v>
      </c>
      <c r="D45" s="121" t="s">
        <v>479</v>
      </c>
      <c r="E45" s="337" t="s">
        <v>639</v>
      </c>
      <c r="F45" s="269" t="s">
        <v>681</v>
      </c>
      <c r="G45" s="338"/>
      <c r="H45" s="269" t="s">
        <v>131</v>
      </c>
    </row>
    <row r="46" spans="1:10" ht="21" customHeight="1" x14ac:dyDescent="0.35">
      <c r="A46" s="124">
        <v>118</v>
      </c>
      <c r="B46" s="121" t="s">
        <v>523</v>
      </c>
      <c r="D46" s="121" t="s">
        <v>608</v>
      </c>
      <c r="E46" s="337" t="s">
        <v>643</v>
      </c>
      <c r="F46" s="269" t="s">
        <v>682</v>
      </c>
      <c r="G46" s="338"/>
      <c r="I46" s="269" t="s">
        <v>36</v>
      </c>
    </row>
    <row r="47" spans="1:10" ht="21" customHeight="1" x14ac:dyDescent="0.35">
      <c r="A47" s="124">
        <v>119</v>
      </c>
      <c r="B47" s="121" t="s">
        <v>524</v>
      </c>
      <c r="C47" s="121" t="s">
        <v>570</v>
      </c>
      <c r="D47" s="121" t="s">
        <v>479</v>
      </c>
      <c r="E47" s="337" t="s">
        <v>499</v>
      </c>
      <c r="F47" s="269" t="s">
        <v>680</v>
      </c>
      <c r="G47" s="338"/>
      <c r="H47" s="269" t="s">
        <v>131</v>
      </c>
    </row>
    <row r="48" spans="1:10" ht="21" customHeight="1" x14ac:dyDescent="0.35">
      <c r="A48" s="124">
        <v>120</v>
      </c>
      <c r="B48" s="121" t="s">
        <v>525</v>
      </c>
      <c r="C48" s="121" t="s">
        <v>571</v>
      </c>
      <c r="D48" s="121" t="s">
        <v>609</v>
      </c>
      <c r="E48" s="337" t="s">
        <v>645</v>
      </c>
      <c r="F48" s="269" t="s">
        <v>683</v>
      </c>
      <c r="G48" s="338"/>
      <c r="I48" s="269" t="s">
        <v>36</v>
      </c>
    </row>
    <row r="49" spans="1:9" ht="21" customHeight="1" x14ac:dyDescent="0.35">
      <c r="A49" s="124">
        <v>121</v>
      </c>
      <c r="B49" s="121" t="s">
        <v>526</v>
      </c>
      <c r="D49" s="121" t="s">
        <v>596</v>
      </c>
      <c r="E49" s="337" t="s">
        <v>646</v>
      </c>
      <c r="F49" s="269" t="s">
        <v>682</v>
      </c>
      <c r="G49" s="338"/>
      <c r="I49" s="269" t="s">
        <v>36</v>
      </c>
    </row>
    <row r="50" spans="1:9" ht="21" customHeight="1" x14ac:dyDescent="0.35">
      <c r="A50" s="124">
        <v>122</v>
      </c>
      <c r="B50" s="121" t="s">
        <v>527</v>
      </c>
      <c r="C50" s="121" t="s">
        <v>572</v>
      </c>
      <c r="D50" s="121" t="s">
        <v>479</v>
      </c>
      <c r="E50" s="337" t="s">
        <v>640</v>
      </c>
      <c r="F50" s="269" t="s">
        <v>509</v>
      </c>
      <c r="G50" s="338"/>
      <c r="H50" s="269" t="s">
        <v>131</v>
      </c>
    </row>
    <row r="51" spans="1:9" ht="21" customHeight="1" x14ac:dyDescent="0.35">
      <c r="A51" s="124">
        <v>123</v>
      </c>
      <c r="B51" s="121" t="s">
        <v>877</v>
      </c>
      <c r="C51" s="121" t="s">
        <v>573</v>
      </c>
      <c r="D51" s="121" t="s">
        <v>480</v>
      </c>
      <c r="E51" s="337" t="s">
        <v>647</v>
      </c>
      <c r="F51" s="269" t="s">
        <v>684</v>
      </c>
      <c r="G51" s="338"/>
      <c r="H51" s="269" t="s">
        <v>131</v>
      </c>
    </row>
    <row r="52" spans="1:9" ht="21" customHeight="1" x14ac:dyDescent="0.35">
      <c r="A52" s="124">
        <v>124</v>
      </c>
      <c r="B52" s="121" t="s">
        <v>528</v>
      </c>
      <c r="C52" s="121" t="s">
        <v>574</v>
      </c>
      <c r="D52" s="121" t="s">
        <v>610</v>
      </c>
      <c r="E52" s="337" t="s">
        <v>648</v>
      </c>
      <c r="F52" s="269" t="s">
        <v>675</v>
      </c>
      <c r="G52" s="338"/>
      <c r="H52" s="269" t="s">
        <v>131</v>
      </c>
    </row>
    <row r="53" spans="1:9" ht="21" customHeight="1" x14ac:dyDescent="0.35">
      <c r="A53" s="124">
        <v>125</v>
      </c>
      <c r="B53" s="121" t="s">
        <v>529</v>
      </c>
      <c r="C53" s="121" t="s">
        <v>569</v>
      </c>
      <c r="D53" s="121" t="s">
        <v>611</v>
      </c>
      <c r="E53" s="337" t="s">
        <v>649</v>
      </c>
      <c r="F53" s="269" t="s">
        <v>685</v>
      </c>
      <c r="G53" s="338"/>
      <c r="H53" s="269" t="s">
        <v>131</v>
      </c>
    </row>
    <row r="54" spans="1:9" ht="21" customHeight="1" x14ac:dyDescent="0.35">
      <c r="A54" s="124">
        <v>126</v>
      </c>
      <c r="B54" s="121" t="s">
        <v>530</v>
      </c>
      <c r="C54" s="121" t="s">
        <v>575</v>
      </c>
      <c r="D54" s="121" t="s">
        <v>612</v>
      </c>
      <c r="E54" s="337" t="s">
        <v>650</v>
      </c>
      <c r="F54" s="269" t="s">
        <v>686</v>
      </c>
      <c r="G54" s="338"/>
      <c r="H54" s="269" t="s">
        <v>131</v>
      </c>
    </row>
    <row r="55" spans="1:9" ht="21" customHeight="1" x14ac:dyDescent="0.35">
      <c r="A55" s="124">
        <v>127</v>
      </c>
      <c r="B55" s="121" t="s">
        <v>531</v>
      </c>
      <c r="C55" s="121" t="s">
        <v>568</v>
      </c>
      <c r="D55" s="121" t="s">
        <v>595</v>
      </c>
      <c r="E55" s="337" t="s">
        <v>648</v>
      </c>
      <c r="F55" s="269" t="s">
        <v>687</v>
      </c>
      <c r="G55" s="338"/>
      <c r="I55" s="269" t="s">
        <v>36</v>
      </c>
    </row>
    <row r="56" spans="1:9" ht="21" customHeight="1" x14ac:dyDescent="0.35">
      <c r="A56" s="124">
        <v>128</v>
      </c>
      <c r="B56" s="121" t="s">
        <v>532</v>
      </c>
      <c r="C56" s="121" t="s">
        <v>569</v>
      </c>
      <c r="D56" s="121" t="s">
        <v>613</v>
      </c>
      <c r="E56" s="337" t="s">
        <v>639</v>
      </c>
      <c r="F56" s="269" t="s">
        <v>688</v>
      </c>
      <c r="G56" s="338"/>
      <c r="H56" s="269" t="s">
        <v>131</v>
      </c>
    </row>
    <row r="57" spans="1:9" ht="21" customHeight="1" x14ac:dyDescent="0.35">
      <c r="A57" s="124">
        <v>129</v>
      </c>
      <c r="B57" s="121" t="s">
        <v>533</v>
      </c>
      <c r="C57" s="121" t="s">
        <v>576</v>
      </c>
      <c r="D57" s="121" t="s">
        <v>614</v>
      </c>
      <c r="E57" s="337" t="s">
        <v>651</v>
      </c>
      <c r="F57" s="269" t="s">
        <v>689</v>
      </c>
      <c r="G57" s="338"/>
      <c r="I57" s="269" t="s">
        <v>36</v>
      </c>
    </row>
    <row r="58" spans="1:9" ht="21" customHeight="1" x14ac:dyDescent="0.35">
      <c r="A58" s="124">
        <v>130</v>
      </c>
      <c r="B58" s="121" t="s">
        <v>878</v>
      </c>
      <c r="C58" s="121" t="s">
        <v>577</v>
      </c>
      <c r="D58" s="121" t="s">
        <v>615</v>
      </c>
      <c r="E58" s="337" t="s">
        <v>652</v>
      </c>
      <c r="F58" s="269" t="s">
        <v>690</v>
      </c>
      <c r="G58" s="338"/>
      <c r="H58" s="269" t="s">
        <v>131</v>
      </c>
    </row>
    <row r="59" spans="1:9" ht="21" customHeight="1" x14ac:dyDescent="0.35">
      <c r="A59" s="124">
        <v>131</v>
      </c>
      <c r="B59" s="121" t="s">
        <v>534</v>
      </c>
      <c r="C59" s="121" t="s">
        <v>578</v>
      </c>
      <c r="D59" s="121" t="s">
        <v>407</v>
      </c>
      <c r="E59" s="337" t="s">
        <v>653</v>
      </c>
      <c r="F59" s="269" t="s">
        <v>691</v>
      </c>
      <c r="G59" s="338"/>
      <c r="H59" s="269" t="s">
        <v>131</v>
      </c>
    </row>
    <row r="60" spans="1:9" ht="21" customHeight="1" x14ac:dyDescent="0.35">
      <c r="A60" s="124">
        <v>132</v>
      </c>
      <c r="B60" s="121" t="s">
        <v>535</v>
      </c>
      <c r="C60" s="121" t="s">
        <v>579</v>
      </c>
      <c r="D60" s="121" t="s">
        <v>616</v>
      </c>
      <c r="E60" s="337" t="s">
        <v>654</v>
      </c>
      <c r="F60" s="269" t="s">
        <v>579</v>
      </c>
      <c r="G60" s="338"/>
      <c r="H60" s="269" t="s">
        <v>131</v>
      </c>
    </row>
    <row r="61" spans="1:9" ht="21" customHeight="1" x14ac:dyDescent="0.35">
      <c r="A61" s="124">
        <v>133</v>
      </c>
      <c r="B61" s="121" t="s">
        <v>536</v>
      </c>
      <c r="C61" s="121" t="s">
        <v>580</v>
      </c>
      <c r="E61" s="337" t="s">
        <v>634</v>
      </c>
      <c r="F61" s="269" t="s">
        <v>692</v>
      </c>
      <c r="G61" s="338"/>
    </row>
    <row r="62" spans="1:9" ht="21" customHeight="1" x14ac:dyDescent="0.35">
      <c r="A62" s="124">
        <v>134</v>
      </c>
      <c r="B62" s="121" t="s">
        <v>879</v>
      </c>
      <c r="C62" s="121" t="s">
        <v>581</v>
      </c>
      <c r="D62" s="121" t="s">
        <v>607</v>
      </c>
      <c r="E62" s="337" t="s">
        <v>636</v>
      </c>
      <c r="F62" s="269" t="s">
        <v>693</v>
      </c>
      <c r="G62" s="338"/>
      <c r="H62" s="269" t="s">
        <v>131</v>
      </c>
    </row>
    <row r="63" spans="1:9" ht="21" customHeight="1" x14ac:dyDescent="0.35">
      <c r="A63" s="124">
        <v>135</v>
      </c>
      <c r="B63" s="121" t="s">
        <v>537</v>
      </c>
      <c r="C63" s="121" t="s">
        <v>582</v>
      </c>
      <c r="D63" s="121" t="s">
        <v>616</v>
      </c>
      <c r="E63" s="337" t="s">
        <v>655</v>
      </c>
      <c r="F63" s="269" t="s">
        <v>694</v>
      </c>
      <c r="G63" s="338"/>
      <c r="H63" s="269" t="s">
        <v>131</v>
      </c>
    </row>
    <row r="64" spans="1:9" ht="21" customHeight="1" x14ac:dyDescent="0.35">
      <c r="A64" s="124">
        <v>136</v>
      </c>
      <c r="B64" s="121" t="s">
        <v>538</v>
      </c>
      <c r="C64" s="121" t="s">
        <v>583</v>
      </c>
      <c r="D64" s="121" t="s">
        <v>618</v>
      </c>
      <c r="E64" s="337" t="s">
        <v>641</v>
      </c>
      <c r="F64" s="269" t="s">
        <v>695</v>
      </c>
      <c r="G64" s="338"/>
      <c r="H64" s="269" t="s">
        <v>131</v>
      </c>
    </row>
    <row r="65" spans="1:9" ht="21" customHeight="1" x14ac:dyDescent="0.35">
      <c r="A65" s="124">
        <v>137</v>
      </c>
      <c r="B65" s="121" t="s">
        <v>539</v>
      </c>
      <c r="C65" s="121" t="s">
        <v>570</v>
      </c>
      <c r="D65" s="121" t="s">
        <v>619</v>
      </c>
      <c r="E65" s="337" t="s">
        <v>434</v>
      </c>
      <c r="F65" s="269" t="s">
        <v>696</v>
      </c>
      <c r="G65" s="338"/>
      <c r="H65" s="269" t="s">
        <v>131</v>
      </c>
    </row>
    <row r="66" spans="1:9" ht="21" customHeight="1" x14ac:dyDescent="0.35">
      <c r="A66" s="124">
        <v>138</v>
      </c>
      <c r="B66" s="121" t="s">
        <v>135</v>
      </c>
      <c r="C66" s="121" t="s">
        <v>584</v>
      </c>
      <c r="D66" s="121" t="s">
        <v>620</v>
      </c>
      <c r="E66" s="337" t="s">
        <v>656</v>
      </c>
      <c r="F66" s="269" t="s">
        <v>697</v>
      </c>
      <c r="G66" s="338"/>
      <c r="H66" s="269" t="s">
        <v>131</v>
      </c>
    </row>
    <row r="67" spans="1:9" ht="21" customHeight="1" x14ac:dyDescent="0.35">
      <c r="A67" s="124">
        <v>139</v>
      </c>
      <c r="B67" s="121" t="s">
        <v>540</v>
      </c>
      <c r="C67" s="121" t="s">
        <v>467</v>
      </c>
      <c r="D67" s="121" t="s">
        <v>621</v>
      </c>
      <c r="E67" s="337" t="s">
        <v>657</v>
      </c>
      <c r="F67" s="269" t="s">
        <v>698</v>
      </c>
      <c r="G67" s="338"/>
      <c r="H67" s="269" t="s">
        <v>131</v>
      </c>
    </row>
    <row r="68" spans="1:9" ht="21" customHeight="1" x14ac:dyDescent="0.35">
      <c r="A68" s="124">
        <v>140</v>
      </c>
      <c r="B68" s="121" t="s">
        <v>541</v>
      </c>
      <c r="C68" s="121" t="s">
        <v>585</v>
      </c>
      <c r="D68" s="121" t="s">
        <v>606</v>
      </c>
      <c r="E68" s="337" t="s">
        <v>657</v>
      </c>
      <c r="F68" s="269" t="s">
        <v>699</v>
      </c>
      <c r="G68" s="338"/>
      <c r="H68" s="269" t="s">
        <v>131</v>
      </c>
    </row>
    <row r="69" spans="1:9" ht="21" customHeight="1" x14ac:dyDescent="0.35">
      <c r="A69" s="124">
        <v>141</v>
      </c>
      <c r="B69" s="121" t="s">
        <v>542</v>
      </c>
      <c r="C69" s="121" t="s">
        <v>586</v>
      </c>
      <c r="D69" s="121" t="s">
        <v>617</v>
      </c>
      <c r="E69" s="337" t="s">
        <v>658</v>
      </c>
      <c r="F69" s="269" t="s">
        <v>700</v>
      </c>
      <c r="G69" s="338"/>
      <c r="H69" s="269" t="s">
        <v>131</v>
      </c>
    </row>
    <row r="70" spans="1:9" ht="21" customHeight="1" x14ac:dyDescent="0.35">
      <c r="A70" s="124">
        <v>142</v>
      </c>
      <c r="B70" s="121" t="s">
        <v>543</v>
      </c>
      <c r="C70" s="121" t="s">
        <v>580</v>
      </c>
      <c r="D70" s="121" t="s">
        <v>486</v>
      </c>
      <c r="E70" s="337" t="s">
        <v>434</v>
      </c>
      <c r="F70" s="269" t="s">
        <v>701</v>
      </c>
      <c r="G70" s="338"/>
      <c r="H70" s="269" t="s">
        <v>131</v>
      </c>
      <c r="I70" s="269" t="s">
        <v>36</v>
      </c>
    </row>
    <row r="71" spans="1:9" ht="21" customHeight="1" x14ac:dyDescent="0.35">
      <c r="A71" s="124">
        <v>143</v>
      </c>
      <c r="B71" s="121" t="s">
        <v>544</v>
      </c>
      <c r="C71" s="121" t="s">
        <v>587</v>
      </c>
      <c r="D71" s="121" t="s">
        <v>486</v>
      </c>
      <c r="E71" s="337" t="s">
        <v>657</v>
      </c>
      <c r="F71" s="269" t="s">
        <v>702</v>
      </c>
      <c r="G71" s="338"/>
      <c r="H71" s="269" t="s">
        <v>131</v>
      </c>
      <c r="I71" s="269" t="s">
        <v>36</v>
      </c>
    </row>
    <row r="72" spans="1:9" ht="21" customHeight="1" x14ac:dyDescent="0.35">
      <c r="A72" s="124">
        <v>144</v>
      </c>
      <c r="B72" s="121" t="s">
        <v>545</v>
      </c>
      <c r="C72" s="121" t="s">
        <v>580</v>
      </c>
      <c r="D72" s="121" t="s">
        <v>486</v>
      </c>
      <c r="E72" s="337" t="s">
        <v>659</v>
      </c>
      <c r="F72" s="269" t="s">
        <v>703</v>
      </c>
      <c r="G72" s="338"/>
      <c r="H72" s="269" t="s">
        <v>131</v>
      </c>
      <c r="I72" s="269" t="s">
        <v>36</v>
      </c>
    </row>
    <row r="73" spans="1:9" ht="21" customHeight="1" x14ac:dyDescent="0.35">
      <c r="A73" s="124">
        <v>145</v>
      </c>
      <c r="B73" s="121" t="s">
        <v>622</v>
      </c>
      <c r="C73" s="121" t="s">
        <v>588</v>
      </c>
      <c r="D73" s="121" t="s">
        <v>623</v>
      </c>
      <c r="E73" s="337" t="s">
        <v>660</v>
      </c>
      <c r="F73" s="269" t="s">
        <v>704</v>
      </c>
      <c r="G73" s="338"/>
      <c r="H73" s="269" t="s">
        <v>131</v>
      </c>
    </row>
    <row r="74" spans="1:9" ht="21" customHeight="1" x14ac:dyDescent="0.35">
      <c r="A74" s="124">
        <v>146</v>
      </c>
      <c r="B74" s="121" t="s">
        <v>880</v>
      </c>
      <c r="C74" s="121" t="s">
        <v>587</v>
      </c>
      <c r="D74" s="121" t="s">
        <v>624</v>
      </c>
      <c r="E74" s="337" t="s">
        <v>650</v>
      </c>
      <c r="G74" s="338"/>
      <c r="H74" s="269" t="s">
        <v>131</v>
      </c>
    </row>
    <row r="75" spans="1:9" ht="21" customHeight="1" x14ac:dyDescent="0.35">
      <c r="A75" s="124">
        <v>147</v>
      </c>
      <c r="B75" s="121" t="s">
        <v>546</v>
      </c>
      <c r="C75" s="121" t="s">
        <v>589</v>
      </c>
      <c r="D75" s="121" t="s">
        <v>625</v>
      </c>
      <c r="E75" s="337" t="s">
        <v>657</v>
      </c>
      <c r="F75" s="269" t="s">
        <v>705</v>
      </c>
      <c r="G75" s="338"/>
      <c r="H75" s="269" t="s">
        <v>131</v>
      </c>
    </row>
    <row r="76" spans="1:9" ht="21" customHeight="1" x14ac:dyDescent="0.35">
      <c r="A76" s="124">
        <v>148</v>
      </c>
      <c r="B76" s="121" t="s">
        <v>547</v>
      </c>
      <c r="C76" s="121" t="s">
        <v>590</v>
      </c>
      <c r="D76" s="121" t="s">
        <v>626</v>
      </c>
      <c r="E76" s="337" t="s">
        <v>500</v>
      </c>
      <c r="F76" s="269" t="s">
        <v>706</v>
      </c>
      <c r="G76" s="338"/>
      <c r="H76" s="269" t="s">
        <v>131</v>
      </c>
    </row>
    <row r="77" spans="1:9" ht="21" customHeight="1" x14ac:dyDescent="0.35">
      <c r="A77" s="124">
        <v>149</v>
      </c>
      <c r="B77" s="121" t="s">
        <v>548</v>
      </c>
      <c r="C77" s="121" t="s">
        <v>591</v>
      </c>
      <c r="D77" s="121" t="s">
        <v>568</v>
      </c>
      <c r="E77" s="337" t="s">
        <v>648</v>
      </c>
      <c r="F77" s="269" t="s">
        <v>707</v>
      </c>
      <c r="G77" s="338"/>
    </row>
    <row r="78" spans="1:9" ht="21" customHeight="1" x14ac:dyDescent="0.35">
      <c r="A78" s="124">
        <v>150</v>
      </c>
      <c r="B78" s="121" t="s">
        <v>881</v>
      </c>
      <c r="C78" s="121" t="s">
        <v>592</v>
      </c>
      <c r="D78" s="121" t="s">
        <v>627</v>
      </c>
      <c r="E78" s="337" t="s">
        <v>657</v>
      </c>
      <c r="F78" s="269" t="s">
        <v>708</v>
      </c>
      <c r="G78" s="338"/>
      <c r="H78" s="269" t="s">
        <v>131</v>
      </c>
    </row>
    <row r="79" spans="1:9" ht="21" customHeight="1" x14ac:dyDescent="0.35">
      <c r="A79" s="124">
        <v>151</v>
      </c>
      <c r="B79" s="121" t="s">
        <v>549</v>
      </c>
      <c r="C79" s="121" t="s">
        <v>568</v>
      </c>
      <c r="D79" s="121" t="s">
        <v>490</v>
      </c>
      <c r="E79" s="337" t="s">
        <v>661</v>
      </c>
      <c r="F79" s="269" t="s">
        <v>709</v>
      </c>
      <c r="G79" s="338"/>
      <c r="I79" s="269" t="s">
        <v>36</v>
      </c>
    </row>
    <row r="80" spans="1:9" ht="21" customHeight="1" x14ac:dyDescent="0.35">
      <c r="A80" s="124">
        <v>152</v>
      </c>
      <c r="B80" s="121" t="s">
        <v>550</v>
      </c>
      <c r="C80" s="121" t="s">
        <v>593</v>
      </c>
      <c r="D80" s="121" t="s">
        <v>479</v>
      </c>
      <c r="E80" s="337" t="s">
        <v>495</v>
      </c>
      <c r="F80" s="269" t="s">
        <v>710</v>
      </c>
      <c r="G80" s="338"/>
      <c r="H80" s="269" t="s">
        <v>131</v>
      </c>
    </row>
    <row r="81" spans="1:10" ht="21" customHeight="1" x14ac:dyDescent="0.35">
      <c r="A81" s="124">
        <v>153</v>
      </c>
      <c r="B81" s="121" t="s">
        <v>551</v>
      </c>
      <c r="C81" s="121" t="s">
        <v>587</v>
      </c>
      <c r="D81" s="121" t="s">
        <v>628</v>
      </c>
      <c r="E81" s="337" t="s">
        <v>662</v>
      </c>
      <c r="F81" s="269" t="s">
        <v>711</v>
      </c>
      <c r="G81" s="338"/>
      <c r="H81" s="269" t="s">
        <v>131</v>
      </c>
    </row>
    <row r="82" spans="1:10" ht="21" customHeight="1" x14ac:dyDescent="0.35">
      <c r="A82" s="124">
        <v>154</v>
      </c>
      <c r="B82" s="121" t="s">
        <v>552</v>
      </c>
      <c r="C82" s="121" t="s">
        <v>472</v>
      </c>
      <c r="D82" s="121" t="s">
        <v>629</v>
      </c>
      <c r="E82" s="337" t="s">
        <v>641</v>
      </c>
      <c r="F82" s="269" t="s">
        <v>712</v>
      </c>
      <c r="G82" s="338"/>
      <c r="H82" s="269" t="s">
        <v>131</v>
      </c>
      <c r="J82" s="269" t="s">
        <v>134</v>
      </c>
    </row>
    <row r="83" spans="1:10" ht="21" customHeight="1" x14ac:dyDescent="0.35">
      <c r="A83" s="124">
        <v>155</v>
      </c>
      <c r="B83" s="121" t="s">
        <v>553</v>
      </c>
      <c r="C83" s="121" t="s">
        <v>594</v>
      </c>
      <c r="D83" s="121" t="s">
        <v>492</v>
      </c>
      <c r="E83" s="337" t="s">
        <v>663</v>
      </c>
      <c r="F83" s="269" t="s">
        <v>713</v>
      </c>
      <c r="G83" s="338"/>
      <c r="H83" s="269" t="s">
        <v>131</v>
      </c>
    </row>
    <row r="84" spans="1:10" ht="21" customHeight="1" x14ac:dyDescent="0.35">
      <c r="A84" s="124">
        <v>156</v>
      </c>
      <c r="B84" s="121" t="s">
        <v>136</v>
      </c>
      <c r="D84" s="121" t="s">
        <v>630</v>
      </c>
      <c r="E84" s="337" t="s">
        <v>664</v>
      </c>
      <c r="F84" s="269" t="s">
        <v>714</v>
      </c>
      <c r="G84" s="338"/>
      <c r="I84" s="269" t="s">
        <v>36</v>
      </c>
    </row>
    <row r="85" spans="1:10" ht="21" customHeight="1" x14ac:dyDescent="0.35">
      <c r="A85" s="124">
        <v>157</v>
      </c>
      <c r="G85" s="338"/>
    </row>
    <row r="86" spans="1:10" ht="21" customHeight="1" x14ac:dyDescent="0.35">
      <c r="A86" s="124">
        <v>158</v>
      </c>
      <c r="G86" s="338"/>
    </row>
    <row r="87" spans="1:10" ht="21" customHeight="1" x14ac:dyDescent="0.35">
      <c r="G87" s="338"/>
    </row>
    <row r="88" spans="1:10" ht="21" customHeight="1" x14ac:dyDescent="0.35">
      <c r="G88" s="338"/>
    </row>
    <row r="89" spans="1:10" ht="21" customHeight="1" x14ac:dyDescent="0.3">
      <c r="A89" s="601" t="s">
        <v>884</v>
      </c>
      <c r="B89" s="601"/>
      <c r="C89" s="601"/>
      <c r="D89" s="601"/>
      <c r="E89" s="601"/>
      <c r="F89" s="601"/>
      <c r="G89" s="601"/>
      <c r="H89" s="601"/>
      <c r="I89" s="601"/>
      <c r="J89" s="601"/>
    </row>
    <row r="90" spans="1:10" ht="21" customHeight="1" x14ac:dyDescent="0.35">
      <c r="A90" s="124">
        <v>201</v>
      </c>
      <c r="B90" s="121" t="s">
        <v>882</v>
      </c>
      <c r="D90" s="121" t="s">
        <v>629</v>
      </c>
      <c r="G90" s="338"/>
      <c r="H90" s="269" t="s">
        <v>131</v>
      </c>
      <c r="J90" s="269" t="s">
        <v>134</v>
      </c>
    </row>
    <row r="91" spans="1:10" ht="21" customHeight="1" x14ac:dyDescent="0.35">
      <c r="A91" s="124">
        <v>202</v>
      </c>
      <c r="B91" s="121" t="s">
        <v>883</v>
      </c>
      <c r="D91" s="121" t="s">
        <v>629</v>
      </c>
      <c r="F91" s="269" t="s">
        <v>635</v>
      </c>
      <c r="G91" s="338"/>
      <c r="H91" s="269" t="s">
        <v>131</v>
      </c>
      <c r="J91" s="269" t="s">
        <v>134</v>
      </c>
    </row>
    <row r="92" spans="1:10" ht="21" customHeight="1" x14ac:dyDescent="0.35">
      <c r="A92" s="124">
        <v>203</v>
      </c>
      <c r="G92" s="338"/>
    </row>
    <row r="93" spans="1:10" ht="21" customHeight="1" x14ac:dyDescent="0.35">
      <c r="A93" s="124">
        <v>204</v>
      </c>
      <c r="G93" s="338"/>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87"/>
  <sheetViews>
    <sheetView showZeros="0" topLeftCell="A11" workbookViewId="0">
      <selection activeCell="E29" sqref="E29"/>
    </sheetView>
  </sheetViews>
  <sheetFormatPr defaultColWidth="9.140625" defaultRowHeight="20.100000000000001" customHeight="1" x14ac:dyDescent="0.3"/>
  <cols>
    <col min="1" max="1" width="10.140625" style="126" customWidth="1"/>
    <col min="2" max="2" width="40.140625" style="121" customWidth="1"/>
    <col min="3" max="3" width="40" style="125" customWidth="1"/>
    <col min="4" max="4" width="29.5703125" style="125" customWidth="1"/>
    <col min="5" max="16384" width="9.140625" style="121"/>
  </cols>
  <sheetData>
    <row r="1" spans="1:4" s="126" customFormat="1" ht="20.100000000000001" customHeight="1" thickBot="1" x14ac:dyDescent="0.25">
      <c r="A1" s="256" t="s">
        <v>110</v>
      </c>
      <c r="B1" s="257" t="s">
        <v>721</v>
      </c>
      <c r="C1" s="258" t="s">
        <v>137</v>
      </c>
      <c r="D1" s="258" t="s">
        <v>40</v>
      </c>
    </row>
    <row r="2" spans="1:4" ht="20.100000000000001" customHeight="1" thickBot="1" x14ac:dyDescent="0.4">
      <c r="A2" s="262">
        <v>0</v>
      </c>
      <c r="B2" s="259" t="s">
        <v>138</v>
      </c>
      <c r="C2" s="260"/>
      <c r="D2" s="261"/>
    </row>
    <row r="3" spans="1:4" ht="20.100000000000001" customHeight="1" thickBot="1" x14ac:dyDescent="0.4">
      <c r="A3" s="252"/>
      <c r="B3" s="253" t="s">
        <v>793</v>
      </c>
      <c r="C3" s="254"/>
      <c r="D3" s="255"/>
    </row>
    <row r="4" spans="1:4" ht="36.75" customHeight="1" x14ac:dyDescent="0.3">
      <c r="A4" s="222">
        <v>1</v>
      </c>
      <c r="B4" s="127" t="s">
        <v>795</v>
      </c>
      <c r="C4" s="125" t="s">
        <v>797</v>
      </c>
      <c r="D4" s="125" t="s">
        <v>140</v>
      </c>
    </row>
    <row r="5" spans="1:4" ht="36.75" customHeight="1" x14ac:dyDescent="0.3">
      <c r="A5" s="222">
        <v>2</v>
      </c>
      <c r="B5" s="127" t="s">
        <v>799</v>
      </c>
      <c r="C5" s="125" t="s">
        <v>800</v>
      </c>
    </row>
    <row r="6" spans="1:4" ht="20.100000000000001" customHeight="1" x14ac:dyDescent="0.3">
      <c r="A6" s="222">
        <v>3</v>
      </c>
      <c r="B6" s="127" t="s">
        <v>794</v>
      </c>
      <c r="C6" s="125" t="s">
        <v>796</v>
      </c>
      <c r="D6" s="125" t="s">
        <v>798</v>
      </c>
    </row>
    <row r="7" spans="1:4" ht="20.100000000000001" customHeight="1" x14ac:dyDescent="0.3">
      <c r="A7" s="222"/>
      <c r="B7" s="127"/>
    </row>
    <row r="8" spans="1:4" ht="20.100000000000001" customHeight="1" thickBot="1" x14ac:dyDescent="0.35">
      <c r="A8" s="226"/>
      <c r="B8" s="200" t="s">
        <v>949</v>
      </c>
      <c r="C8" s="604" t="s">
        <v>993</v>
      </c>
      <c r="D8" s="604"/>
    </row>
    <row r="9" spans="1:4" ht="20.100000000000001" customHeight="1" x14ac:dyDescent="0.3">
      <c r="A9" s="222">
        <v>101</v>
      </c>
      <c r="B9" s="198" t="s">
        <v>722</v>
      </c>
      <c r="C9" s="198" t="s">
        <v>733</v>
      </c>
      <c r="D9" s="128" t="s">
        <v>994</v>
      </c>
    </row>
    <row r="10" spans="1:4" ht="20.100000000000001" customHeight="1" x14ac:dyDescent="0.3">
      <c r="A10" s="222">
        <v>102</v>
      </c>
      <c r="B10" s="198" t="s">
        <v>723</v>
      </c>
      <c r="C10" s="198" t="s">
        <v>734</v>
      </c>
      <c r="D10" s="128" t="s">
        <v>994</v>
      </c>
    </row>
    <row r="11" spans="1:4" ht="20.100000000000001" customHeight="1" x14ac:dyDescent="0.3">
      <c r="A11" s="222">
        <v>103</v>
      </c>
      <c r="B11" s="198" t="s">
        <v>726</v>
      </c>
      <c r="C11" s="198" t="s">
        <v>738</v>
      </c>
      <c r="D11" s="128" t="s">
        <v>994</v>
      </c>
    </row>
    <row r="12" spans="1:4" ht="20.100000000000001" customHeight="1" x14ac:dyDescent="0.3">
      <c r="A12" s="222">
        <v>104</v>
      </c>
      <c r="B12" s="198" t="s">
        <v>724</v>
      </c>
      <c r="C12" s="198" t="s">
        <v>737</v>
      </c>
      <c r="D12" s="128" t="s">
        <v>994</v>
      </c>
    </row>
    <row r="13" spans="1:4" ht="20.100000000000001" customHeight="1" x14ac:dyDescent="0.3">
      <c r="A13" s="222">
        <v>105</v>
      </c>
      <c r="B13" s="198" t="s">
        <v>725</v>
      </c>
      <c r="C13" s="198" t="s">
        <v>736</v>
      </c>
      <c r="D13" s="128" t="s">
        <v>994</v>
      </c>
    </row>
    <row r="14" spans="1:4" ht="20.100000000000001" customHeight="1" x14ac:dyDescent="0.3">
      <c r="A14" s="222">
        <v>106</v>
      </c>
      <c r="B14" s="198" t="s">
        <v>727</v>
      </c>
      <c r="C14" s="198" t="s">
        <v>739</v>
      </c>
      <c r="D14" s="128" t="s">
        <v>994</v>
      </c>
    </row>
    <row r="15" spans="1:4" ht="20.100000000000001" customHeight="1" x14ac:dyDescent="0.3">
      <c r="A15" s="222">
        <v>107</v>
      </c>
      <c r="B15" s="198" t="s">
        <v>728</v>
      </c>
      <c r="C15" s="198" t="s">
        <v>740</v>
      </c>
      <c r="D15" s="128" t="s">
        <v>994</v>
      </c>
    </row>
    <row r="16" spans="1:4" ht="20.100000000000001" customHeight="1" x14ac:dyDescent="0.3">
      <c r="A16" s="222">
        <v>108</v>
      </c>
      <c r="B16" s="198" t="s">
        <v>729</v>
      </c>
      <c r="C16" s="198" t="s">
        <v>741</v>
      </c>
      <c r="D16" s="128" t="s">
        <v>994</v>
      </c>
    </row>
    <row r="17" spans="1:4" ht="20.100000000000001" customHeight="1" x14ac:dyDescent="0.3">
      <c r="A17" s="222">
        <v>109</v>
      </c>
      <c r="B17" s="198" t="s">
        <v>730</v>
      </c>
      <c r="C17" s="198" t="s">
        <v>742</v>
      </c>
      <c r="D17" s="128" t="s">
        <v>994</v>
      </c>
    </row>
    <row r="18" spans="1:4" ht="20.100000000000001" customHeight="1" x14ac:dyDescent="0.3">
      <c r="A18" s="222">
        <v>110</v>
      </c>
      <c r="B18" s="198" t="s">
        <v>731</v>
      </c>
      <c r="C18" s="198" t="s">
        <v>743</v>
      </c>
      <c r="D18" s="128" t="s">
        <v>994</v>
      </c>
    </row>
    <row r="19" spans="1:4" ht="20.100000000000001" customHeight="1" x14ac:dyDescent="0.3">
      <c r="A19" s="222">
        <v>111</v>
      </c>
      <c r="B19" s="198" t="s">
        <v>732</v>
      </c>
      <c r="C19" s="198" t="s">
        <v>744</v>
      </c>
      <c r="D19" s="128" t="s">
        <v>994</v>
      </c>
    </row>
    <row r="20" spans="1:4" ht="20.100000000000001" customHeight="1" x14ac:dyDescent="0.3">
      <c r="A20" s="222">
        <v>112</v>
      </c>
      <c r="B20" s="198" t="s">
        <v>735</v>
      </c>
      <c r="C20" s="198" t="s">
        <v>745</v>
      </c>
      <c r="D20" s="128" t="s">
        <v>994</v>
      </c>
    </row>
    <row r="21" spans="1:4" ht="20.100000000000001" customHeight="1" x14ac:dyDescent="0.3">
      <c r="A21" s="222">
        <v>113</v>
      </c>
      <c r="B21" s="198" t="s">
        <v>890</v>
      </c>
      <c r="C21" s="198" t="s">
        <v>989</v>
      </c>
      <c r="D21" s="128" t="s">
        <v>995</v>
      </c>
    </row>
    <row r="22" spans="1:4" ht="20.100000000000001" customHeight="1" x14ac:dyDescent="0.3">
      <c r="A22" s="222">
        <v>114</v>
      </c>
      <c r="B22" s="198" t="s">
        <v>985</v>
      </c>
      <c r="C22" s="198" t="s">
        <v>988</v>
      </c>
      <c r="D22" s="128" t="s">
        <v>995</v>
      </c>
    </row>
    <row r="23" spans="1:4" ht="20.100000000000001" customHeight="1" x14ac:dyDescent="0.3">
      <c r="A23" s="222">
        <v>115</v>
      </c>
      <c r="B23" s="198" t="s">
        <v>986</v>
      </c>
      <c r="C23" s="198" t="s">
        <v>964</v>
      </c>
      <c r="D23" s="128" t="s">
        <v>995</v>
      </c>
    </row>
    <row r="24" spans="1:4" ht="20.100000000000001" customHeight="1" x14ac:dyDescent="0.3">
      <c r="A24" s="222">
        <v>116</v>
      </c>
      <c r="B24" s="198" t="s">
        <v>987</v>
      </c>
      <c r="C24" s="198" t="s">
        <v>990</v>
      </c>
      <c r="D24" s="128" t="s">
        <v>995</v>
      </c>
    </row>
    <row r="25" spans="1:4" ht="20.100000000000001" customHeight="1" x14ac:dyDescent="0.3">
      <c r="A25" s="222">
        <v>117</v>
      </c>
      <c r="B25" s="198" t="s">
        <v>991</v>
      </c>
      <c r="C25" s="198" t="s">
        <v>992</v>
      </c>
      <c r="D25" s="128" t="s">
        <v>995</v>
      </c>
    </row>
    <row r="26" spans="1:4" ht="20.100000000000001" customHeight="1" x14ac:dyDescent="0.3">
      <c r="A26" s="222">
        <v>118</v>
      </c>
      <c r="B26" s="198" t="s">
        <v>998</v>
      </c>
      <c r="C26" s="198" t="s">
        <v>973</v>
      </c>
      <c r="D26" s="128" t="s">
        <v>994</v>
      </c>
    </row>
    <row r="27" spans="1:4" ht="20.100000000000001" customHeight="1" x14ac:dyDescent="0.3">
      <c r="A27" s="222">
        <v>119</v>
      </c>
      <c r="B27" s="198" t="s">
        <v>999</v>
      </c>
      <c r="C27" s="198" t="s">
        <v>992</v>
      </c>
      <c r="D27" s="128" t="s">
        <v>994</v>
      </c>
    </row>
    <row r="28" spans="1:4" ht="20.100000000000001" customHeight="1" x14ac:dyDescent="0.3">
      <c r="A28" s="222">
        <v>120</v>
      </c>
      <c r="B28" s="198" t="s">
        <v>1000</v>
      </c>
      <c r="C28" s="198" t="s">
        <v>743</v>
      </c>
      <c r="D28" s="128" t="s">
        <v>994</v>
      </c>
    </row>
    <row r="29" spans="1:4" ht="20.100000000000001" customHeight="1" x14ac:dyDescent="0.3">
      <c r="A29" s="222">
        <v>121</v>
      </c>
      <c r="B29" s="198" t="s">
        <v>1079</v>
      </c>
      <c r="C29" s="198" t="s">
        <v>1080</v>
      </c>
      <c r="D29" s="128"/>
    </row>
    <row r="30" spans="1:4" ht="20.100000000000001" customHeight="1" x14ac:dyDescent="0.3">
      <c r="A30" s="202">
        <v>122</v>
      </c>
      <c r="B30" s="198" t="s">
        <v>1087</v>
      </c>
      <c r="C30" s="128"/>
      <c r="D30" s="128"/>
    </row>
    <row r="31" spans="1:4" ht="20.100000000000001" customHeight="1" x14ac:dyDescent="0.3">
      <c r="A31" s="227"/>
      <c r="B31" s="199" t="s">
        <v>801</v>
      </c>
      <c r="C31" s="603" t="s">
        <v>996</v>
      </c>
      <c r="D31" s="603"/>
    </row>
    <row r="32" spans="1:4" s="129" customFormat="1" ht="20.100000000000001" customHeight="1" x14ac:dyDescent="0.3">
      <c r="A32" s="126">
        <v>201</v>
      </c>
      <c r="B32" s="129" t="s">
        <v>747</v>
      </c>
      <c r="C32" s="130" t="s">
        <v>973</v>
      </c>
      <c r="D32" s="128" t="s">
        <v>994</v>
      </c>
    </row>
    <row r="33" spans="1:4" s="123" customFormat="1" ht="20.100000000000001" customHeight="1" x14ac:dyDescent="0.3">
      <c r="A33" s="222">
        <v>202</v>
      </c>
      <c r="B33" s="123" t="s">
        <v>749</v>
      </c>
      <c r="C33" s="130" t="s">
        <v>973</v>
      </c>
      <c r="D33" s="128" t="s">
        <v>994</v>
      </c>
    </row>
    <row r="34" spans="1:4" s="123" customFormat="1" ht="20.100000000000001" customHeight="1" x14ac:dyDescent="0.3">
      <c r="A34" s="126">
        <v>203</v>
      </c>
      <c r="B34" s="129" t="s">
        <v>750</v>
      </c>
      <c r="C34" s="130" t="s">
        <v>973</v>
      </c>
      <c r="D34" s="128" t="s">
        <v>994</v>
      </c>
    </row>
    <row r="35" spans="1:4" ht="20.100000000000001" customHeight="1" x14ac:dyDescent="0.3">
      <c r="A35" s="222">
        <v>204</v>
      </c>
      <c r="B35" s="121" t="s">
        <v>751</v>
      </c>
      <c r="C35" s="125" t="s">
        <v>802</v>
      </c>
      <c r="D35" s="128" t="s">
        <v>994</v>
      </c>
    </row>
    <row r="36" spans="1:4" ht="20.100000000000001" customHeight="1" x14ac:dyDescent="0.3">
      <c r="A36" s="126">
        <v>205</v>
      </c>
      <c r="B36" s="121" t="s">
        <v>752</v>
      </c>
      <c r="C36" s="130" t="s">
        <v>973</v>
      </c>
      <c r="D36" s="128" t="s">
        <v>994</v>
      </c>
    </row>
    <row r="37" spans="1:4" ht="20.100000000000001" customHeight="1" x14ac:dyDescent="0.3">
      <c r="A37" s="222">
        <v>206</v>
      </c>
      <c r="B37" s="121" t="s">
        <v>753</v>
      </c>
      <c r="C37" s="130" t="s">
        <v>973</v>
      </c>
      <c r="D37" s="128" t="s">
        <v>994</v>
      </c>
    </row>
    <row r="38" spans="1:4" ht="20.100000000000001" customHeight="1" x14ac:dyDescent="0.3">
      <c r="A38" s="126">
        <v>207</v>
      </c>
      <c r="B38" s="121" t="s">
        <v>754</v>
      </c>
      <c r="C38" s="130" t="s">
        <v>973</v>
      </c>
      <c r="D38" s="128" t="s">
        <v>994</v>
      </c>
    </row>
    <row r="39" spans="1:4" ht="20.100000000000001" customHeight="1" x14ac:dyDescent="0.3">
      <c r="A39" s="222">
        <v>208</v>
      </c>
      <c r="B39" s="121" t="s">
        <v>755</v>
      </c>
      <c r="C39" s="130" t="s">
        <v>973</v>
      </c>
      <c r="D39" s="128" t="s">
        <v>994</v>
      </c>
    </row>
    <row r="40" spans="1:4" ht="20.100000000000001" customHeight="1" x14ac:dyDescent="0.3">
      <c r="A40" s="126">
        <v>209</v>
      </c>
      <c r="B40" s="121" t="s">
        <v>757</v>
      </c>
      <c r="C40" s="130" t="s">
        <v>973</v>
      </c>
      <c r="D40" s="128" t="s">
        <v>994</v>
      </c>
    </row>
    <row r="41" spans="1:4" ht="20.100000000000001" customHeight="1" x14ac:dyDescent="0.3">
      <c r="A41" s="222">
        <v>210</v>
      </c>
      <c r="B41" s="121" t="s">
        <v>758</v>
      </c>
      <c r="C41" s="125" t="s">
        <v>803</v>
      </c>
      <c r="D41" s="128" t="s">
        <v>994</v>
      </c>
    </row>
    <row r="42" spans="1:4" ht="20.100000000000001" customHeight="1" x14ac:dyDescent="0.3">
      <c r="A42" s="126">
        <v>211</v>
      </c>
      <c r="B42" s="121" t="s">
        <v>759</v>
      </c>
      <c r="C42" s="130" t="s">
        <v>973</v>
      </c>
      <c r="D42" s="128" t="s">
        <v>994</v>
      </c>
    </row>
    <row r="43" spans="1:4" ht="20.100000000000001" customHeight="1" x14ac:dyDescent="0.3">
      <c r="A43" s="222">
        <v>212</v>
      </c>
      <c r="B43" s="121" t="s">
        <v>760</v>
      </c>
      <c r="C43" s="125" t="s">
        <v>805</v>
      </c>
      <c r="D43" s="128" t="s">
        <v>994</v>
      </c>
    </row>
    <row r="44" spans="1:4" ht="20.100000000000001" customHeight="1" x14ac:dyDescent="0.3">
      <c r="A44" s="126">
        <v>213</v>
      </c>
      <c r="B44" s="121" t="s">
        <v>761</v>
      </c>
      <c r="C44" s="130" t="s">
        <v>973</v>
      </c>
      <c r="D44" s="128" t="s">
        <v>994</v>
      </c>
    </row>
    <row r="45" spans="1:4" ht="20.100000000000001" customHeight="1" x14ac:dyDescent="0.3">
      <c r="A45" s="222">
        <v>214</v>
      </c>
      <c r="B45" s="121" t="s">
        <v>762</v>
      </c>
      <c r="C45" s="125" t="s">
        <v>804</v>
      </c>
      <c r="D45" s="128" t="s">
        <v>994</v>
      </c>
    </row>
    <row r="46" spans="1:4" ht="20.100000000000001" customHeight="1" x14ac:dyDescent="0.3">
      <c r="A46" s="126">
        <v>215</v>
      </c>
      <c r="B46" s="121" t="s">
        <v>763</v>
      </c>
      <c r="C46" s="130" t="s">
        <v>973</v>
      </c>
      <c r="D46" s="128" t="s">
        <v>994</v>
      </c>
    </row>
    <row r="47" spans="1:4" ht="20.100000000000001" customHeight="1" x14ac:dyDescent="0.3">
      <c r="A47" s="222">
        <v>216</v>
      </c>
      <c r="B47" s="121" t="s">
        <v>806</v>
      </c>
      <c r="C47" s="125" t="s">
        <v>974</v>
      </c>
      <c r="D47" s="128" t="s">
        <v>994</v>
      </c>
    </row>
    <row r="48" spans="1:4" ht="20.100000000000001" customHeight="1" x14ac:dyDescent="0.3">
      <c r="A48" s="222"/>
      <c r="D48" s="130"/>
    </row>
    <row r="49" spans="1:4" ht="20.100000000000001" customHeight="1" x14ac:dyDescent="0.3">
      <c r="A49" s="223"/>
      <c r="B49" s="199" t="s">
        <v>950</v>
      </c>
      <c r="C49" s="603" t="s">
        <v>996</v>
      </c>
      <c r="D49" s="603"/>
    </row>
    <row r="50" spans="1:4" ht="20.100000000000001" customHeight="1" x14ac:dyDescent="0.3">
      <c r="A50" s="222">
        <v>301</v>
      </c>
      <c r="B50" s="121" t="s">
        <v>764</v>
      </c>
      <c r="C50" s="125" t="s">
        <v>972</v>
      </c>
      <c r="D50" s="128" t="s">
        <v>994</v>
      </c>
    </row>
    <row r="51" spans="1:4" ht="20.100000000000001" customHeight="1" x14ac:dyDescent="0.3">
      <c r="A51" s="222">
        <v>302</v>
      </c>
      <c r="B51" s="121" t="s">
        <v>765</v>
      </c>
      <c r="C51" s="125" t="s">
        <v>972</v>
      </c>
      <c r="D51" s="128" t="s">
        <v>994</v>
      </c>
    </row>
    <row r="52" spans="1:4" ht="20.100000000000001" customHeight="1" x14ac:dyDescent="0.3">
      <c r="A52" s="222">
        <v>303</v>
      </c>
      <c r="B52" s="121" t="s">
        <v>766</v>
      </c>
      <c r="C52" s="125" t="s">
        <v>972</v>
      </c>
      <c r="D52" s="128" t="s">
        <v>994</v>
      </c>
    </row>
    <row r="53" spans="1:4" ht="20.100000000000001" customHeight="1" x14ac:dyDescent="0.3">
      <c r="A53" s="222">
        <v>304</v>
      </c>
      <c r="B53" s="121" t="s">
        <v>767</v>
      </c>
      <c r="C53" s="125" t="s">
        <v>972</v>
      </c>
      <c r="D53" s="128" t="s">
        <v>994</v>
      </c>
    </row>
    <row r="54" spans="1:4" ht="20.100000000000001" customHeight="1" x14ac:dyDescent="0.3">
      <c r="A54" s="222">
        <v>305</v>
      </c>
      <c r="B54" s="121" t="s">
        <v>770</v>
      </c>
      <c r="C54" s="125" t="s">
        <v>972</v>
      </c>
      <c r="D54" s="128" t="s">
        <v>994</v>
      </c>
    </row>
    <row r="55" spans="1:4" ht="20.100000000000001" customHeight="1" x14ac:dyDescent="0.3">
      <c r="A55" s="222">
        <v>306</v>
      </c>
      <c r="B55" s="121" t="s">
        <v>768</v>
      </c>
      <c r="C55" s="125" t="s">
        <v>972</v>
      </c>
      <c r="D55" s="128" t="s">
        <v>994</v>
      </c>
    </row>
    <row r="56" spans="1:4" ht="20.100000000000001" customHeight="1" x14ac:dyDescent="0.3">
      <c r="A56" s="222">
        <v>307</v>
      </c>
      <c r="B56" s="201" t="s">
        <v>769</v>
      </c>
      <c r="C56" s="125" t="s">
        <v>972</v>
      </c>
      <c r="D56" s="128" t="s">
        <v>994</v>
      </c>
    </row>
    <row r="57" spans="1:4" ht="20.100000000000001" customHeight="1" x14ac:dyDescent="0.3">
      <c r="A57" s="222">
        <v>308</v>
      </c>
      <c r="B57" s="121" t="s">
        <v>771</v>
      </c>
      <c r="C57" s="125" t="s">
        <v>972</v>
      </c>
      <c r="D57" s="128" t="s">
        <v>994</v>
      </c>
    </row>
    <row r="58" spans="1:4" ht="20.100000000000001" customHeight="1" x14ac:dyDescent="0.3">
      <c r="A58" s="222">
        <v>309</v>
      </c>
      <c r="B58" s="121" t="s">
        <v>772</v>
      </c>
      <c r="C58" s="125" t="s">
        <v>807</v>
      </c>
      <c r="D58" s="128" t="s">
        <v>994</v>
      </c>
    </row>
    <row r="59" spans="1:4" ht="20.100000000000001" customHeight="1" x14ac:dyDescent="0.3">
      <c r="A59" s="222">
        <v>310</v>
      </c>
      <c r="B59" s="121" t="s">
        <v>773</v>
      </c>
      <c r="C59" s="125" t="s">
        <v>808</v>
      </c>
      <c r="D59" s="128" t="s">
        <v>994</v>
      </c>
    </row>
    <row r="60" spans="1:4" ht="20.100000000000001" customHeight="1" x14ac:dyDescent="0.3">
      <c r="A60" s="222">
        <v>311</v>
      </c>
      <c r="B60" s="121" t="s">
        <v>774</v>
      </c>
      <c r="C60" s="125" t="s">
        <v>972</v>
      </c>
      <c r="D60" s="128" t="s">
        <v>994</v>
      </c>
    </row>
    <row r="61" spans="1:4" ht="20.100000000000001" customHeight="1" x14ac:dyDescent="0.3">
      <c r="A61" s="222">
        <v>312</v>
      </c>
      <c r="B61" s="121" t="s">
        <v>775</v>
      </c>
      <c r="C61" s="125" t="s">
        <v>809</v>
      </c>
      <c r="D61" s="128" t="s">
        <v>994</v>
      </c>
    </row>
    <row r="62" spans="1:4" ht="20.100000000000001" customHeight="1" x14ac:dyDescent="0.3">
      <c r="A62" s="222"/>
      <c r="D62" s="130"/>
    </row>
    <row r="63" spans="1:4" ht="20.100000000000001" customHeight="1" x14ac:dyDescent="0.3">
      <c r="A63" s="223"/>
      <c r="B63" s="199" t="s">
        <v>951</v>
      </c>
      <c r="C63" s="603" t="s">
        <v>996</v>
      </c>
      <c r="D63" s="603"/>
    </row>
    <row r="64" spans="1:4" ht="20.100000000000001" customHeight="1" x14ac:dyDescent="0.3">
      <c r="A64" s="126">
        <v>401</v>
      </c>
      <c r="B64" s="129" t="s">
        <v>748</v>
      </c>
      <c r="C64" s="130" t="s">
        <v>746</v>
      </c>
      <c r="D64" s="130"/>
    </row>
    <row r="65" spans="1:4" ht="20.100000000000001" customHeight="1" x14ac:dyDescent="0.3">
      <c r="A65" s="126">
        <v>402</v>
      </c>
      <c r="B65" s="121" t="s">
        <v>810</v>
      </c>
      <c r="C65" s="125" t="s">
        <v>968</v>
      </c>
      <c r="D65" s="130"/>
    </row>
    <row r="66" spans="1:4" ht="20.100000000000001" customHeight="1" x14ac:dyDescent="0.3">
      <c r="A66" s="126">
        <v>403</v>
      </c>
      <c r="B66" s="121" t="s">
        <v>776</v>
      </c>
      <c r="C66" s="125" t="s">
        <v>966</v>
      </c>
      <c r="D66" s="130"/>
    </row>
    <row r="67" spans="1:4" ht="20.100000000000001" customHeight="1" x14ac:dyDescent="0.3">
      <c r="A67" s="126">
        <v>404</v>
      </c>
      <c r="B67" s="121" t="s">
        <v>777</v>
      </c>
      <c r="C67" s="125" t="s">
        <v>967</v>
      </c>
      <c r="D67" s="130"/>
    </row>
    <row r="68" spans="1:4" ht="20.100000000000001" customHeight="1" x14ac:dyDescent="0.3">
      <c r="A68" s="126">
        <v>405</v>
      </c>
      <c r="B68" s="121" t="s">
        <v>778</v>
      </c>
      <c r="C68" s="125" t="s">
        <v>968</v>
      </c>
      <c r="D68" s="130"/>
    </row>
    <row r="69" spans="1:4" ht="20.100000000000001" customHeight="1" x14ac:dyDescent="0.3">
      <c r="D69" s="130"/>
    </row>
    <row r="70" spans="1:4" ht="20.100000000000001" customHeight="1" x14ac:dyDescent="0.3">
      <c r="A70" s="228"/>
      <c r="B70" s="199" t="s">
        <v>952</v>
      </c>
      <c r="C70" s="603" t="s">
        <v>996</v>
      </c>
      <c r="D70" s="603"/>
    </row>
    <row r="71" spans="1:4" ht="20.100000000000001" customHeight="1" x14ac:dyDescent="0.3">
      <c r="A71" s="126">
        <v>501</v>
      </c>
      <c r="B71" s="201" t="s">
        <v>785</v>
      </c>
      <c r="C71" s="125" t="s">
        <v>970</v>
      </c>
      <c r="D71" s="128"/>
    </row>
    <row r="72" spans="1:4" ht="20.100000000000001" customHeight="1" x14ac:dyDescent="0.3">
      <c r="A72" s="126">
        <v>502</v>
      </c>
      <c r="B72" s="201" t="s">
        <v>786</v>
      </c>
      <c r="C72" s="125" t="s">
        <v>969</v>
      </c>
      <c r="D72" s="128"/>
    </row>
    <row r="73" spans="1:4" ht="20.100000000000001" customHeight="1" x14ac:dyDescent="0.3">
      <c r="A73" s="126">
        <v>503</v>
      </c>
      <c r="B73" s="201" t="s">
        <v>787</v>
      </c>
      <c r="C73" s="125" t="s">
        <v>971</v>
      </c>
      <c r="D73" s="128"/>
    </row>
    <row r="74" spans="1:4" ht="20.100000000000001" customHeight="1" x14ac:dyDescent="0.3">
      <c r="B74" s="201"/>
    </row>
    <row r="75" spans="1:4" ht="20.100000000000001" customHeight="1" x14ac:dyDescent="0.3">
      <c r="A75" s="228"/>
      <c r="B75" s="199" t="s">
        <v>953</v>
      </c>
      <c r="C75" s="603" t="s">
        <v>996</v>
      </c>
      <c r="D75" s="603"/>
    </row>
    <row r="76" spans="1:4" ht="20.100000000000001" customHeight="1" x14ac:dyDescent="0.3">
      <c r="A76" s="222">
        <v>601</v>
      </c>
      <c r="B76" s="121" t="s">
        <v>756</v>
      </c>
      <c r="C76" s="125" t="s">
        <v>965</v>
      </c>
      <c r="D76" s="130"/>
    </row>
    <row r="77" spans="1:4" ht="20.100000000000001" customHeight="1" x14ac:dyDescent="0.3">
      <c r="A77" s="222">
        <v>602</v>
      </c>
      <c r="B77" s="121" t="s">
        <v>780</v>
      </c>
      <c r="C77" s="125" t="s">
        <v>984</v>
      </c>
      <c r="D77" s="130"/>
    </row>
    <row r="78" spans="1:4" ht="20.100000000000001" customHeight="1" x14ac:dyDescent="0.3">
      <c r="A78" s="222">
        <v>603</v>
      </c>
      <c r="B78" s="121" t="s">
        <v>781</v>
      </c>
      <c r="C78" s="125" t="s">
        <v>984</v>
      </c>
      <c r="D78" s="130"/>
    </row>
    <row r="79" spans="1:4" ht="20.100000000000001" customHeight="1" x14ac:dyDescent="0.3">
      <c r="A79" s="222">
        <v>604</v>
      </c>
      <c r="B79" s="121" t="s">
        <v>782</v>
      </c>
      <c r="C79" s="125" t="s">
        <v>975</v>
      </c>
      <c r="D79" s="130"/>
    </row>
    <row r="80" spans="1:4" ht="20.100000000000001" customHeight="1" x14ac:dyDescent="0.3">
      <c r="A80" s="222">
        <v>605</v>
      </c>
      <c r="B80" s="121" t="s">
        <v>783</v>
      </c>
      <c r="C80" s="125" t="s">
        <v>983</v>
      </c>
      <c r="D80" s="130"/>
    </row>
    <row r="81" spans="1:4" ht="20.100000000000001" customHeight="1" x14ac:dyDescent="0.3">
      <c r="A81" s="222">
        <v>606</v>
      </c>
      <c r="B81" s="121" t="s">
        <v>784</v>
      </c>
      <c r="C81" s="125" t="s">
        <v>981</v>
      </c>
      <c r="D81" s="130"/>
    </row>
    <row r="82" spans="1:4" ht="20.100000000000001" customHeight="1" x14ac:dyDescent="0.3">
      <c r="A82" s="222">
        <v>607</v>
      </c>
      <c r="B82" s="201" t="s">
        <v>788</v>
      </c>
      <c r="C82" s="121" t="s">
        <v>980</v>
      </c>
      <c r="D82" s="128"/>
    </row>
    <row r="83" spans="1:4" ht="20.100000000000001" customHeight="1" x14ac:dyDescent="0.3">
      <c r="A83" s="222">
        <v>608</v>
      </c>
      <c r="B83" s="201" t="s">
        <v>789</v>
      </c>
      <c r="C83" s="121" t="s">
        <v>976</v>
      </c>
      <c r="D83" s="128"/>
    </row>
    <row r="84" spans="1:4" ht="20.100000000000001" customHeight="1" x14ac:dyDescent="0.3">
      <c r="A84" s="222">
        <v>609</v>
      </c>
      <c r="B84" s="201" t="s">
        <v>790</v>
      </c>
      <c r="C84" s="121" t="s">
        <v>982</v>
      </c>
      <c r="D84" s="128"/>
    </row>
    <row r="85" spans="1:4" ht="20.100000000000001" customHeight="1" x14ac:dyDescent="0.3">
      <c r="A85" s="222">
        <v>610</v>
      </c>
      <c r="B85" s="201" t="s">
        <v>791</v>
      </c>
      <c r="C85" s="125" t="s">
        <v>979</v>
      </c>
      <c r="D85" s="128"/>
    </row>
    <row r="86" spans="1:4" ht="20.100000000000001" customHeight="1" x14ac:dyDescent="0.3">
      <c r="A86" s="222">
        <v>611</v>
      </c>
      <c r="B86" s="201" t="s">
        <v>792</v>
      </c>
      <c r="C86" s="125" t="s">
        <v>978</v>
      </c>
      <c r="D86" s="128"/>
    </row>
    <row r="87" spans="1:4" ht="20.100000000000001" customHeight="1" x14ac:dyDescent="0.3">
      <c r="A87" s="222">
        <v>612</v>
      </c>
      <c r="B87" s="121" t="s">
        <v>779</v>
      </c>
      <c r="C87" s="125" t="s">
        <v>977</v>
      </c>
      <c r="D87" s="128"/>
    </row>
  </sheetData>
  <sheetProtection selectLockedCells="1" selectUnlockedCells="1"/>
  <mergeCells count="6">
    <mergeCell ref="C70:D70"/>
    <mergeCell ref="C75:D75"/>
    <mergeCell ref="C8:D8"/>
    <mergeCell ref="C31:D31"/>
    <mergeCell ref="C49:D49"/>
    <mergeCell ref="C63:D63"/>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67" workbookViewId="0">
      <selection activeCell="C103" sqref="C103"/>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9" t="s">
        <v>110</v>
      </c>
      <c r="B1" s="231" t="s">
        <v>141</v>
      </c>
      <c r="C1" s="231" t="s">
        <v>142</v>
      </c>
      <c r="D1" s="230" t="s">
        <v>143</v>
      </c>
    </row>
    <row r="2" spans="1:4" s="235" customFormat="1" ht="20.100000000000001" customHeight="1" x14ac:dyDescent="0.35">
      <c r="A2" s="234"/>
      <c r="B2" s="605" t="s">
        <v>144</v>
      </c>
      <c r="C2" s="605"/>
      <c r="D2" s="605"/>
    </row>
    <row r="3" spans="1:4" s="235" customFormat="1" ht="20.100000000000001" customHeight="1" x14ac:dyDescent="0.35">
      <c r="A3" s="234"/>
      <c r="B3" s="605" t="s">
        <v>145</v>
      </c>
      <c r="C3" s="605"/>
      <c r="D3" s="605"/>
    </row>
    <row r="4" spans="1:4" s="235" customFormat="1" ht="20.100000000000001" customHeight="1" x14ac:dyDescent="0.35">
      <c r="A4" s="234"/>
      <c r="B4" s="605" t="s">
        <v>146</v>
      </c>
      <c r="C4" s="605"/>
      <c r="D4" s="605"/>
    </row>
    <row r="5" spans="1:4" s="235" customFormat="1" ht="20.100000000000001" customHeight="1" x14ac:dyDescent="0.35">
      <c r="A5" s="234"/>
      <c r="B5" s="605" t="s">
        <v>147</v>
      </c>
      <c r="C5" s="605"/>
      <c r="D5" s="605"/>
    </row>
    <row r="6" spans="1:4" s="235" customFormat="1" ht="20.100000000000001" customHeight="1" x14ac:dyDescent="0.35">
      <c r="A6" s="234"/>
      <c r="B6" s="605" t="s">
        <v>148</v>
      </c>
      <c r="C6" s="605"/>
      <c r="D6" s="605"/>
    </row>
    <row r="7" spans="1:4" s="235" customFormat="1" ht="20.100000000000001" customHeight="1" x14ac:dyDescent="0.35">
      <c r="A7" s="234"/>
      <c r="B7" s="605" t="s">
        <v>149</v>
      </c>
      <c r="C7" s="605"/>
      <c r="D7" s="605"/>
    </row>
    <row r="8" spans="1:4" s="235" customFormat="1" ht="20.100000000000001" customHeight="1" x14ac:dyDescent="0.35">
      <c r="A8" s="234"/>
      <c r="B8" s="605" t="s">
        <v>150</v>
      </c>
      <c r="C8" s="605"/>
      <c r="D8" s="605"/>
    </row>
    <row r="9" spans="1:4" ht="15" customHeight="1" x14ac:dyDescent="0.35">
      <c r="A9" s="247">
        <v>0</v>
      </c>
      <c r="B9" s="240" t="s">
        <v>138</v>
      </c>
    </row>
    <row r="10" spans="1:4" ht="30" customHeight="1" x14ac:dyDescent="0.45">
      <c r="B10" s="263" t="s">
        <v>943</v>
      </c>
      <c r="C10" s="224"/>
      <c r="D10" s="224"/>
    </row>
    <row r="11" spans="1:4" s="233" customFormat="1" ht="16.5" x14ac:dyDescent="0.2">
      <c r="A11" s="126">
        <v>1</v>
      </c>
      <c r="B11" s="232" t="s">
        <v>151</v>
      </c>
      <c r="C11" s="232" t="s">
        <v>152</v>
      </c>
      <c r="D11" s="232" t="s">
        <v>153</v>
      </c>
    </row>
    <row r="12" spans="1:4" s="233" customFormat="1" ht="16.5" x14ac:dyDescent="0.2">
      <c r="A12" s="126">
        <v>2</v>
      </c>
      <c r="B12" s="232" t="s">
        <v>157</v>
      </c>
      <c r="C12" s="232" t="s">
        <v>158</v>
      </c>
      <c r="D12" s="232" t="s">
        <v>159</v>
      </c>
    </row>
    <row r="13" spans="1:4" s="233" customFormat="1" ht="16.5" x14ac:dyDescent="0.2">
      <c r="A13" s="126">
        <v>3</v>
      </c>
      <c r="B13" s="232" t="s">
        <v>160</v>
      </c>
      <c r="C13" s="232" t="s">
        <v>161</v>
      </c>
      <c r="D13" s="232" t="s">
        <v>162</v>
      </c>
    </row>
    <row r="14" spans="1:4" s="233" customFormat="1" ht="16.5" x14ac:dyDescent="0.2">
      <c r="A14" s="126">
        <v>4</v>
      </c>
      <c r="B14" s="232" t="s">
        <v>163</v>
      </c>
      <c r="C14" s="232" t="s">
        <v>164</v>
      </c>
      <c r="D14" s="232"/>
    </row>
    <row r="15" spans="1:4" s="233" customFormat="1" ht="16.5" x14ac:dyDescent="0.2">
      <c r="A15" s="126">
        <v>5</v>
      </c>
      <c r="B15" s="232" t="s">
        <v>165</v>
      </c>
      <c r="C15" s="232" t="s">
        <v>166</v>
      </c>
      <c r="D15" s="232" t="s">
        <v>167</v>
      </c>
    </row>
    <row r="16" spans="1:4" s="233" customFormat="1" ht="16.5" x14ac:dyDescent="0.2">
      <c r="A16" s="126">
        <v>6</v>
      </c>
      <c r="B16" s="232" t="s">
        <v>168</v>
      </c>
      <c r="C16" s="232" t="s">
        <v>169</v>
      </c>
      <c r="D16" s="232" t="s">
        <v>170</v>
      </c>
    </row>
    <row r="17" spans="1:4" s="233" customFormat="1" ht="16.5" x14ac:dyDescent="0.2">
      <c r="A17" s="126">
        <v>7</v>
      </c>
      <c r="B17" s="232" t="s">
        <v>171</v>
      </c>
      <c r="C17" s="232" t="s">
        <v>172</v>
      </c>
      <c r="D17" s="232" t="s">
        <v>173</v>
      </c>
    </row>
    <row r="18" spans="1:4" s="233" customFormat="1" ht="16.5" x14ac:dyDescent="0.2">
      <c r="A18" s="126">
        <v>8</v>
      </c>
      <c r="B18" s="232" t="s">
        <v>174</v>
      </c>
      <c r="C18" s="232" t="s">
        <v>175</v>
      </c>
      <c r="D18" s="232" t="s">
        <v>176</v>
      </c>
    </row>
    <row r="19" spans="1:4" s="233" customFormat="1" ht="16.5" x14ac:dyDescent="0.2">
      <c r="A19" s="126">
        <v>9</v>
      </c>
      <c r="B19" s="232" t="s">
        <v>177</v>
      </c>
      <c r="C19" s="232" t="s">
        <v>178</v>
      </c>
      <c r="D19" s="232" t="s">
        <v>179</v>
      </c>
    </row>
    <row r="20" spans="1:4" s="233" customFormat="1" ht="16.5" x14ac:dyDescent="0.2">
      <c r="A20" s="126">
        <v>10</v>
      </c>
      <c r="B20" s="232" t="s">
        <v>180</v>
      </c>
      <c r="C20" s="232" t="s">
        <v>181</v>
      </c>
      <c r="D20" s="232" t="s">
        <v>182</v>
      </c>
    </row>
    <row r="21" spans="1:4" s="233" customFormat="1" ht="16.5" x14ac:dyDescent="0.2">
      <c r="A21" s="126">
        <v>11</v>
      </c>
      <c r="B21" s="232" t="s">
        <v>184</v>
      </c>
      <c r="C21" s="232" t="s">
        <v>185</v>
      </c>
      <c r="D21" s="232" t="s">
        <v>186</v>
      </c>
    </row>
    <row r="22" spans="1:4" s="233" customFormat="1" ht="16.5" x14ac:dyDescent="0.2">
      <c r="A22" s="126">
        <v>12</v>
      </c>
      <c r="B22" s="232" t="s">
        <v>187</v>
      </c>
      <c r="C22" s="232" t="s">
        <v>188</v>
      </c>
      <c r="D22" s="232" t="s">
        <v>189</v>
      </c>
    </row>
    <row r="23" spans="1:4" s="233" customFormat="1" ht="16.5" x14ac:dyDescent="0.2">
      <c r="A23" s="126">
        <v>13</v>
      </c>
      <c r="B23" s="232" t="s">
        <v>191</v>
      </c>
      <c r="C23" s="232" t="s">
        <v>166</v>
      </c>
      <c r="D23" s="232" t="s">
        <v>192</v>
      </c>
    </row>
    <row r="24" spans="1:4" s="233" customFormat="1" ht="16.5" x14ac:dyDescent="0.2">
      <c r="A24" s="126">
        <v>14</v>
      </c>
      <c r="B24" s="232" t="s">
        <v>193</v>
      </c>
      <c r="C24" s="232" t="s">
        <v>194</v>
      </c>
      <c r="D24" s="232" t="s">
        <v>195</v>
      </c>
    </row>
    <row r="25" spans="1:4" s="233" customFormat="1" ht="16.5" x14ac:dyDescent="0.2">
      <c r="A25" s="126">
        <v>15</v>
      </c>
      <c r="B25" s="232" t="s">
        <v>196</v>
      </c>
      <c r="C25" s="232"/>
      <c r="D25" s="232"/>
    </row>
    <row r="26" spans="1:4" s="233" customFormat="1" ht="16.5" x14ac:dyDescent="0.2">
      <c r="A26" s="126">
        <v>16</v>
      </c>
      <c r="B26" s="232" t="s">
        <v>197</v>
      </c>
      <c r="C26" s="232"/>
      <c r="D26" s="232"/>
    </row>
    <row r="27" spans="1:4" s="233" customFormat="1" ht="16.5" x14ac:dyDescent="0.2">
      <c r="A27" s="126">
        <v>17</v>
      </c>
      <c r="B27" s="232" t="s">
        <v>198</v>
      </c>
      <c r="C27" s="232" t="s">
        <v>199</v>
      </c>
      <c r="D27" s="232" t="s">
        <v>128</v>
      </c>
    </row>
    <row r="28" spans="1:4" s="233" customFormat="1" ht="16.5" x14ac:dyDescent="0.2">
      <c r="A28" s="126">
        <v>18</v>
      </c>
      <c r="B28" s="232" t="s">
        <v>200</v>
      </c>
      <c r="C28" s="232" t="s">
        <v>201</v>
      </c>
      <c r="D28" s="232" t="s">
        <v>202</v>
      </c>
    </row>
    <row r="29" spans="1:4" s="233" customFormat="1" ht="16.5" x14ac:dyDescent="0.2">
      <c r="A29" s="126">
        <v>19</v>
      </c>
      <c r="B29" s="232" t="s">
        <v>203</v>
      </c>
      <c r="C29" s="232" t="s">
        <v>204</v>
      </c>
      <c r="D29" s="232" t="s">
        <v>179</v>
      </c>
    </row>
    <row r="30" spans="1:4" s="233" customFormat="1" ht="16.5" x14ac:dyDescent="0.2">
      <c r="A30" s="126">
        <v>20</v>
      </c>
      <c r="B30" s="232" t="s">
        <v>205</v>
      </c>
      <c r="C30" s="232" t="s">
        <v>206</v>
      </c>
      <c r="D30" s="232" t="s">
        <v>207</v>
      </c>
    </row>
    <row r="31" spans="1:4" s="233" customFormat="1" ht="16.5" x14ac:dyDescent="0.2">
      <c r="A31" s="126">
        <v>21</v>
      </c>
      <c r="B31" s="232" t="s">
        <v>208</v>
      </c>
      <c r="C31" s="232" t="s">
        <v>209</v>
      </c>
      <c r="D31" s="232" t="s">
        <v>210</v>
      </c>
    </row>
    <row r="32" spans="1:4" s="233" customFormat="1" ht="16.5" x14ac:dyDescent="0.2">
      <c r="A32" s="126">
        <v>22</v>
      </c>
      <c r="B32" s="232" t="s">
        <v>211</v>
      </c>
      <c r="C32" s="232" t="s">
        <v>212</v>
      </c>
      <c r="D32" s="232" t="s">
        <v>213</v>
      </c>
    </row>
    <row r="33" spans="1:4" s="233" customFormat="1" x14ac:dyDescent="0.2">
      <c r="A33" s="126">
        <v>23</v>
      </c>
      <c r="B33" s="232" t="s">
        <v>214</v>
      </c>
      <c r="C33" s="232" t="s">
        <v>215</v>
      </c>
      <c r="D33" s="232" t="s">
        <v>216</v>
      </c>
    </row>
    <row r="34" spans="1:4" s="233" customFormat="1" ht="16.5" x14ac:dyDescent="0.2">
      <c r="A34" s="126">
        <v>24</v>
      </c>
      <c r="B34" s="232" t="s">
        <v>217</v>
      </c>
      <c r="C34" s="232" t="s">
        <v>212</v>
      </c>
      <c r="D34" s="232" t="s">
        <v>218</v>
      </c>
    </row>
    <row r="35" spans="1:4" s="233" customFormat="1" ht="16.5" x14ac:dyDescent="0.2">
      <c r="A35" s="126">
        <v>25</v>
      </c>
      <c r="B35" s="232" t="s">
        <v>219</v>
      </c>
      <c r="C35" s="232" t="s">
        <v>212</v>
      </c>
      <c r="D35" s="232" t="s">
        <v>220</v>
      </c>
    </row>
    <row r="36" spans="1:4" s="233" customFormat="1" ht="16.5" x14ac:dyDescent="0.2">
      <c r="A36" s="126">
        <v>26</v>
      </c>
      <c r="B36" s="232" t="s">
        <v>221</v>
      </c>
      <c r="C36" s="232" t="s">
        <v>212</v>
      </c>
      <c r="D36" s="232" t="s">
        <v>222</v>
      </c>
    </row>
    <row r="37" spans="1:4" s="233" customFormat="1" ht="16.5" x14ac:dyDescent="0.2">
      <c r="A37" s="126">
        <v>27</v>
      </c>
      <c r="B37" s="232" t="s">
        <v>223</v>
      </c>
      <c r="C37" s="232" t="s">
        <v>224</v>
      </c>
      <c r="D37" s="232" t="s">
        <v>179</v>
      </c>
    </row>
    <row r="38" spans="1:4" s="233" customFormat="1" ht="45" x14ac:dyDescent="0.2">
      <c r="A38" s="126">
        <v>28</v>
      </c>
      <c r="B38" s="232" t="s">
        <v>225</v>
      </c>
      <c r="C38" s="232" t="s">
        <v>226</v>
      </c>
      <c r="D38" s="232"/>
    </row>
    <row r="39" spans="1:4" s="233" customFormat="1" ht="16.5" x14ac:dyDescent="0.2">
      <c r="A39" s="126">
        <v>29</v>
      </c>
      <c r="B39" s="232" t="s">
        <v>227</v>
      </c>
      <c r="C39" s="232" t="s">
        <v>212</v>
      </c>
      <c r="D39" s="232" t="s">
        <v>228</v>
      </c>
    </row>
    <row r="40" spans="1:4" s="233" customFormat="1" ht="16.5" x14ac:dyDescent="0.2">
      <c r="A40" s="126">
        <v>30</v>
      </c>
      <c r="B40" s="232" t="s">
        <v>229</v>
      </c>
      <c r="C40" s="232" t="s">
        <v>230</v>
      </c>
      <c r="D40" s="232" t="s">
        <v>231</v>
      </c>
    </row>
    <row r="41" spans="1:4" s="233" customFormat="1" ht="16.5" x14ac:dyDescent="0.2">
      <c r="A41" s="126">
        <v>31</v>
      </c>
      <c r="B41" s="232" t="s">
        <v>232</v>
      </c>
      <c r="C41" s="232" t="s">
        <v>158</v>
      </c>
      <c r="D41" s="232" t="s">
        <v>233</v>
      </c>
    </row>
    <row r="42" spans="1:4" s="233" customFormat="1" ht="16.5" x14ac:dyDescent="0.2">
      <c r="A42" s="126">
        <v>32</v>
      </c>
      <c r="B42" s="232" t="s">
        <v>234</v>
      </c>
      <c r="C42" s="232" t="s">
        <v>235</v>
      </c>
      <c r="D42" s="232" t="s">
        <v>236</v>
      </c>
    </row>
    <row r="43" spans="1:4" s="233" customFormat="1" ht="16.5" x14ac:dyDescent="0.2">
      <c r="A43" s="126">
        <v>33</v>
      </c>
      <c r="B43" s="232" t="s">
        <v>237</v>
      </c>
      <c r="C43" s="232" t="s">
        <v>238</v>
      </c>
      <c r="D43" s="232" t="s">
        <v>239</v>
      </c>
    </row>
    <row r="44" spans="1:4" s="233" customFormat="1" x14ac:dyDescent="0.2">
      <c r="A44" s="126">
        <v>34</v>
      </c>
      <c r="B44" s="232" t="s">
        <v>445</v>
      </c>
      <c r="C44" s="232"/>
      <c r="D44" s="232" t="s">
        <v>240</v>
      </c>
    </row>
    <row r="45" spans="1:4" s="233" customFormat="1" ht="16.5" x14ac:dyDescent="0.2">
      <c r="A45" s="126">
        <v>35</v>
      </c>
      <c r="B45" s="232" t="s">
        <v>241</v>
      </c>
      <c r="C45" s="232" t="s">
        <v>158</v>
      </c>
      <c r="D45" s="232" t="s">
        <v>242</v>
      </c>
    </row>
    <row r="46" spans="1:4" s="233" customFormat="1" ht="16.5" x14ac:dyDescent="0.2">
      <c r="A46" s="126">
        <v>36</v>
      </c>
      <c r="B46" s="232" t="s">
        <v>243</v>
      </c>
      <c r="C46" s="232" t="s">
        <v>212</v>
      </c>
      <c r="D46" s="232" t="s">
        <v>244</v>
      </c>
    </row>
    <row r="47" spans="1:4" s="233" customFormat="1" ht="16.5" x14ac:dyDescent="0.2">
      <c r="A47" s="126">
        <v>37</v>
      </c>
      <c r="B47" s="232" t="s">
        <v>245</v>
      </c>
      <c r="C47" s="232" t="s">
        <v>212</v>
      </c>
      <c r="D47" s="232" t="s">
        <v>246</v>
      </c>
    </row>
    <row r="48" spans="1:4" s="233" customFormat="1" ht="16.5" x14ac:dyDescent="0.2">
      <c r="A48" s="126">
        <v>38</v>
      </c>
      <c r="B48" s="232" t="s">
        <v>247</v>
      </c>
      <c r="C48" s="232" t="s">
        <v>248</v>
      </c>
      <c r="D48" s="232" t="s">
        <v>249</v>
      </c>
    </row>
    <row r="49" spans="1:4" s="233" customFormat="1" ht="16.5" x14ac:dyDescent="0.2">
      <c r="A49" s="126">
        <v>39</v>
      </c>
      <c r="B49" s="232" t="s">
        <v>250</v>
      </c>
      <c r="C49" s="232" t="s">
        <v>251</v>
      </c>
      <c r="D49" s="232" t="s">
        <v>252</v>
      </c>
    </row>
    <row r="50" spans="1:4" s="233" customFormat="1" ht="16.5" x14ac:dyDescent="0.2">
      <c r="A50" s="126">
        <v>40</v>
      </c>
      <c r="B50" s="232" t="s">
        <v>253</v>
      </c>
      <c r="C50" s="232" t="s">
        <v>199</v>
      </c>
      <c r="D50" s="232" t="s">
        <v>254</v>
      </c>
    </row>
    <row r="51" spans="1:4" s="233" customFormat="1" ht="16.5" x14ac:dyDescent="0.2">
      <c r="A51" s="126">
        <v>41</v>
      </c>
      <c r="B51" s="232" t="s">
        <v>255</v>
      </c>
      <c r="C51" s="232" t="s">
        <v>256</v>
      </c>
      <c r="D51" s="232" t="s">
        <v>257</v>
      </c>
    </row>
    <row r="52" spans="1:4" s="233" customFormat="1" ht="16.5" x14ac:dyDescent="0.2">
      <c r="A52" s="126">
        <v>42</v>
      </c>
      <c r="B52" s="232" t="s">
        <v>258</v>
      </c>
      <c r="C52" s="232" t="s">
        <v>259</v>
      </c>
      <c r="D52" s="232" t="s">
        <v>260</v>
      </c>
    </row>
    <row r="53" spans="1:4" s="233" customFormat="1" ht="16.5" x14ac:dyDescent="0.2">
      <c r="A53" s="126">
        <v>43</v>
      </c>
      <c r="B53" s="232" t="s">
        <v>261</v>
      </c>
      <c r="C53" s="232" t="s">
        <v>230</v>
      </c>
      <c r="D53" s="232" t="s">
        <v>262</v>
      </c>
    </row>
    <row r="54" spans="1:4" s="233" customFormat="1" ht="16.5" x14ac:dyDescent="0.2">
      <c r="A54" s="126">
        <v>44</v>
      </c>
      <c r="B54" s="232" t="s">
        <v>263</v>
      </c>
      <c r="C54" s="232" t="s">
        <v>264</v>
      </c>
      <c r="D54" s="232" t="s">
        <v>265</v>
      </c>
    </row>
    <row r="55" spans="1:4" s="233" customFormat="1" ht="45" x14ac:dyDescent="0.2">
      <c r="A55" s="126">
        <v>45</v>
      </c>
      <c r="B55" s="232" t="s">
        <v>266</v>
      </c>
      <c r="C55" s="232" t="s">
        <v>267</v>
      </c>
      <c r="D55" s="232" t="s">
        <v>268</v>
      </c>
    </row>
    <row r="56" spans="1:4" s="233" customFormat="1" ht="16.5" x14ac:dyDescent="0.2">
      <c r="A56" s="126">
        <v>46</v>
      </c>
      <c r="B56" s="232" t="s">
        <v>272</v>
      </c>
      <c r="C56" s="232" t="s">
        <v>158</v>
      </c>
      <c r="D56" s="232" t="s">
        <v>273</v>
      </c>
    </row>
    <row r="57" spans="1:4" s="233" customFormat="1" ht="16.5" x14ac:dyDescent="0.2">
      <c r="A57" s="126">
        <v>47</v>
      </c>
      <c r="B57" s="232" t="s">
        <v>274</v>
      </c>
      <c r="C57" s="232" t="s">
        <v>212</v>
      </c>
      <c r="D57" s="232" t="s">
        <v>275</v>
      </c>
    </row>
    <row r="58" spans="1:4" s="233" customFormat="1" ht="16.5" x14ac:dyDescent="0.2">
      <c r="A58" s="126">
        <v>48</v>
      </c>
      <c r="B58" s="232" t="s">
        <v>276</v>
      </c>
      <c r="C58" s="232" t="s">
        <v>277</v>
      </c>
      <c r="D58" s="232" t="s">
        <v>278</v>
      </c>
    </row>
    <row r="59" spans="1:4" s="233" customFormat="1" ht="16.5" x14ac:dyDescent="0.2">
      <c r="A59" s="126">
        <v>49</v>
      </c>
      <c r="B59" s="232" t="s">
        <v>279</v>
      </c>
      <c r="C59" s="232" t="s">
        <v>264</v>
      </c>
      <c r="D59" s="232" t="s">
        <v>280</v>
      </c>
    </row>
    <row r="60" spans="1:4" s="233" customFormat="1" ht="16.5" x14ac:dyDescent="0.2">
      <c r="A60" s="126">
        <v>50</v>
      </c>
      <c r="B60" s="232" t="s">
        <v>281</v>
      </c>
      <c r="C60" s="232" t="s">
        <v>282</v>
      </c>
      <c r="D60" s="232" t="s">
        <v>283</v>
      </c>
    </row>
    <row r="61" spans="1:4" s="233" customFormat="1" ht="16.5" x14ac:dyDescent="0.2">
      <c r="A61" s="126">
        <v>51</v>
      </c>
      <c r="B61" s="232" t="s">
        <v>284</v>
      </c>
      <c r="C61" s="232" t="s">
        <v>285</v>
      </c>
      <c r="D61" s="232" t="s">
        <v>286</v>
      </c>
    </row>
    <row r="62" spans="1:4" s="233" customFormat="1" ht="16.5" x14ac:dyDescent="0.2">
      <c r="A62" s="126">
        <v>52</v>
      </c>
      <c r="B62" s="232" t="s">
        <v>287</v>
      </c>
      <c r="C62" s="232" t="s">
        <v>288</v>
      </c>
      <c r="D62" s="232" t="s">
        <v>289</v>
      </c>
    </row>
    <row r="63" spans="1:4" s="233" customFormat="1" ht="16.5" x14ac:dyDescent="0.2">
      <c r="A63" s="126">
        <v>53</v>
      </c>
      <c r="B63" s="232" t="s">
        <v>290</v>
      </c>
      <c r="C63" s="232"/>
      <c r="D63" s="232"/>
    </row>
    <row r="64" spans="1:4" s="233" customFormat="1" ht="16.5" x14ac:dyDescent="0.2">
      <c r="A64" s="126">
        <v>54</v>
      </c>
      <c r="B64" s="232" t="s">
        <v>291</v>
      </c>
      <c r="C64" s="232" t="s">
        <v>158</v>
      </c>
      <c r="D64" s="232" t="s">
        <v>292</v>
      </c>
    </row>
    <row r="65" spans="1:4" s="233" customFormat="1" ht="16.5" x14ac:dyDescent="0.2">
      <c r="A65" s="126">
        <v>55</v>
      </c>
      <c r="B65" s="232" t="s">
        <v>293</v>
      </c>
      <c r="C65" s="232" t="s">
        <v>158</v>
      </c>
      <c r="D65" s="232" t="s">
        <v>294</v>
      </c>
    </row>
    <row r="66" spans="1:4" s="233" customFormat="1" ht="16.5" x14ac:dyDescent="0.2">
      <c r="A66" s="126">
        <v>56</v>
      </c>
      <c r="B66" s="232" t="s">
        <v>295</v>
      </c>
      <c r="C66" s="232" t="s">
        <v>212</v>
      </c>
      <c r="D66" s="232" t="s">
        <v>296</v>
      </c>
    </row>
    <row r="67" spans="1:4" s="233" customFormat="1" ht="16.5" x14ac:dyDescent="0.2">
      <c r="A67" s="126">
        <v>57</v>
      </c>
      <c r="B67" s="232" t="s">
        <v>297</v>
      </c>
      <c r="C67" s="232" t="s">
        <v>298</v>
      </c>
      <c r="D67" s="232" t="s">
        <v>299</v>
      </c>
    </row>
    <row r="68" spans="1:4" s="233" customFormat="1" ht="16.5" x14ac:dyDescent="0.2">
      <c r="A68" s="126">
        <v>58</v>
      </c>
      <c r="B68" s="232" t="s">
        <v>300</v>
      </c>
      <c r="C68" s="232"/>
      <c r="D68" s="232"/>
    </row>
    <row r="69" spans="1:4" s="233" customFormat="1" ht="16.5" x14ac:dyDescent="0.2">
      <c r="A69" s="126">
        <v>59</v>
      </c>
      <c r="B69" s="232" t="s">
        <v>303</v>
      </c>
      <c r="C69" s="232" t="s">
        <v>56</v>
      </c>
      <c r="D69" s="232" t="s">
        <v>304</v>
      </c>
    </row>
    <row r="70" spans="1:4" s="233" customFormat="1" ht="16.5" x14ac:dyDescent="0.2">
      <c r="A70" s="126">
        <v>60</v>
      </c>
      <c r="B70" s="232" t="s">
        <v>305</v>
      </c>
      <c r="C70" s="232" t="s">
        <v>306</v>
      </c>
      <c r="D70" s="232" t="s">
        <v>307</v>
      </c>
    </row>
    <row r="71" spans="1:4" s="233" customFormat="1" ht="16.5" x14ac:dyDescent="0.2">
      <c r="A71" s="126">
        <v>61</v>
      </c>
      <c r="B71" s="232" t="s">
        <v>308</v>
      </c>
      <c r="C71" s="232" t="s">
        <v>158</v>
      </c>
      <c r="D71" s="232" t="s">
        <v>309</v>
      </c>
    </row>
    <row r="72" spans="1:4" s="233" customFormat="1" ht="16.5" x14ac:dyDescent="0.2">
      <c r="A72" s="126">
        <v>62</v>
      </c>
      <c r="B72" s="232" t="s">
        <v>310</v>
      </c>
      <c r="C72" s="232" t="s">
        <v>311</v>
      </c>
      <c r="D72" s="232" t="s">
        <v>207</v>
      </c>
    </row>
    <row r="73" spans="1:4" s="233" customFormat="1" ht="16.5" x14ac:dyDescent="0.2">
      <c r="A73" s="126">
        <v>63</v>
      </c>
      <c r="B73" s="232" t="s">
        <v>314</v>
      </c>
      <c r="C73" s="232" t="s">
        <v>315</v>
      </c>
      <c r="D73" s="232" t="s">
        <v>316</v>
      </c>
    </row>
    <row r="74" spans="1:4" s="233" customFormat="1" ht="16.5" x14ac:dyDescent="0.2">
      <c r="A74" s="126">
        <v>64</v>
      </c>
      <c r="B74" s="232" t="s">
        <v>317</v>
      </c>
      <c r="C74" s="232" t="s">
        <v>318</v>
      </c>
      <c r="D74" s="232" t="s">
        <v>319</v>
      </c>
    </row>
    <row r="75" spans="1:4" s="233" customFormat="1" ht="16.5" x14ac:dyDescent="0.2">
      <c r="A75" s="126">
        <v>65</v>
      </c>
      <c r="B75" s="232" t="s">
        <v>320</v>
      </c>
      <c r="C75" s="232" t="s">
        <v>158</v>
      </c>
      <c r="D75" s="232" t="s">
        <v>179</v>
      </c>
    </row>
    <row r="76" spans="1:4" s="233" customFormat="1" ht="16.5" x14ac:dyDescent="0.2">
      <c r="A76" s="126">
        <v>66</v>
      </c>
      <c r="B76" s="232" t="s">
        <v>321</v>
      </c>
      <c r="C76" s="232" t="s">
        <v>264</v>
      </c>
      <c r="D76" s="232" t="s">
        <v>322</v>
      </c>
    </row>
    <row r="77" spans="1:4" s="233" customFormat="1" ht="16.5" x14ac:dyDescent="0.2">
      <c r="A77" s="126">
        <v>67</v>
      </c>
      <c r="B77" s="232" t="s">
        <v>323</v>
      </c>
      <c r="C77" s="232" t="s">
        <v>230</v>
      </c>
      <c r="D77" s="232" t="s">
        <v>324</v>
      </c>
    </row>
    <row r="78" spans="1:4" s="233" customFormat="1" x14ac:dyDescent="0.2">
      <c r="A78" s="126">
        <v>68</v>
      </c>
      <c r="B78" s="232" t="s">
        <v>328</v>
      </c>
      <c r="C78" s="232" t="s">
        <v>329</v>
      </c>
      <c r="D78" s="232" t="s">
        <v>330</v>
      </c>
    </row>
    <row r="79" spans="1:4" s="233" customFormat="1" ht="16.5" x14ac:dyDescent="0.2">
      <c r="A79" s="126">
        <v>69</v>
      </c>
      <c r="B79" s="232" t="s">
        <v>331</v>
      </c>
      <c r="C79" s="232" t="s">
        <v>332</v>
      </c>
      <c r="D79" s="232"/>
    </row>
    <row r="80" spans="1:4" s="233" customFormat="1" ht="16.5" x14ac:dyDescent="0.2">
      <c r="A80" s="126">
        <v>70</v>
      </c>
      <c r="B80" s="232" t="s">
        <v>333</v>
      </c>
      <c r="C80" s="232" t="s">
        <v>334</v>
      </c>
      <c r="D80" s="232" t="s">
        <v>335</v>
      </c>
    </row>
    <row r="81" spans="1:4" s="233" customFormat="1" ht="16.5" x14ac:dyDescent="0.2">
      <c r="A81" s="126">
        <v>71</v>
      </c>
      <c r="B81" s="232" t="s">
        <v>339</v>
      </c>
      <c r="C81" s="232" t="s">
        <v>158</v>
      </c>
      <c r="D81" s="232" t="s">
        <v>179</v>
      </c>
    </row>
    <row r="82" spans="1:4" s="233" customFormat="1" ht="16.5" x14ac:dyDescent="0.2">
      <c r="A82" s="126">
        <v>72</v>
      </c>
      <c r="B82" s="232" t="s">
        <v>340</v>
      </c>
      <c r="C82" s="232" t="s">
        <v>341</v>
      </c>
      <c r="D82" s="232" t="s">
        <v>342</v>
      </c>
    </row>
    <row r="83" spans="1:4" s="233" customFormat="1" ht="16.5" x14ac:dyDescent="0.2">
      <c r="A83" s="126">
        <v>73</v>
      </c>
      <c r="B83" s="232" t="s">
        <v>346</v>
      </c>
      <c r="C83" s="232" t="s">
        <v>347</v>
      </c>
      <c r="D83" s="232" t="s">
        <v>348</v>
      </c>
    </row>
    <row r="84" spans="1:4" s="233" customFormat="1" ht="16.5" x14ac:dyDescent="0.2">
      <c r="A84" s="126">
        <v>74</v>
      </c>
      <c r="B84" s="232" t="s">
        <v>349</v>
      </c>
      <c r="C84" s="232"/>
      <c r="D84" s="232"/>
    </row>
    <row r="85" spans="1:4" s="233" customFormat="1" ht="16.5" x14ac:dyDescent="0.2">
      <c r="A85" s="126">
        <v>75</v>
      </c>
      <c r="B85" s="232" t="s">
        <v>350</v>
      </c>
      <c r="C85" s="232"/>
      <c r="D85" s="232"/>
    </row>
    <row r="86" spans="1:4" s="233" customFormat="1" ht="16.5" x14ac:dyDescent="0.2">
      <c r="A86" s="126">
        <v>76</v>
      </c>
      <c r="B86" s="232" t="s">
        <v>351</v>
      </c>
      <c r="C86" s="232" t="s">
        <v>352</v>
      </c>
      <c r="D86" s="232" t="s">
        <v>353</v>
      </c>
    </row>
    <row r="87" spans="1:4" s="233" customFormat="1" ht="16.5" x14ac:dyDescent="0.2">
      <c r="A87" s="126">
        <v>77</v>
      </c>
      <c r="B87" s="232" t="s">
        <v>354</v>
      </c>
      <c r="C87" s="232" t="s">
        <v>355</v>
      </c>
      <c r="D87" s="232" t="s">
        <v>356</v>
      </c>
    </row>
    <row r="88" spans="1:4" s="233" customFormat="1" ht="16.5" x14ac:dyDescent="0.2">
      <c r="A88" s="126">
        <v>78</v>
      </c>
      <c r="B88" s="232" t="s">
        <v>357</v>
      </c>
      <c r="C88" s="232" t="s">
        <v>358</v>
      </c>
      <c r="D88" s="232" t="s">
        <v>359</v>
      </c>
    </row>
    <row r="89" spans="1:4" s="233" customFormat="1" ht="16.5" x14ac:dyDescent="0.2">
      <c r="A89" s="126">
        <v>79</v>
      </c>
      <c r="B89" s="232" t="s">
        <v>360</v>
      </c>
      <c r="C89" s="232"/>
      <c r="D89" s="232"/>
    </row>
    <row r="90" spans="1:4" s="233" customFormat="1" ht="16.5" x14ac:dyDescent="0.2">
      <c r="A90" s="126">
        <v>80</v>
      </c>
      <c r="B90" s="232" t="s">
        <v>361</v>
      </c>
      <c r="C90" s="232" t="s">
        <v>56</v>
      </c>
      <c r="D90" s="232" t="s">
        <v>362</v>
      </c>
    </row>
    <row r="91" spans="1:4" s="233" customFormat="1" x14ac:dyDescent="0.2">
      <c r="A91" s="126">
        <v>81</v>
      </c>
      <c r="B91" s="232" t="s">
        <v>363</v>
      </c>
      <c r="C91" s="232" t="s">
        <v>364</v>
      </c>
      <c r="D91" s="232" t="s">
        <v>365</v>
      </c>
    </row>
    <row r="92" spans="1:4" s="233" customFormat="1" ht="16.5" x14ac:dyDescent="0.2">
      <c r="A92" s="126">
        <v>82</v>
      </c>
      <c r="B92" s="232" t="s">
        <v>366</v>
      </c>
      <c r="C92" s="232" t="s">
        <v>158</v>
      </c>
      <c r="D92" s="232" t="s">
        <v>367</v>
      </c>
    </row>
    <row r="93" spans="1:4" s="233" customFormat="1" x14ac:dyDescent="0.2">
      <c r="A93" s="126">
        <v>83</v>
      </c>
      <c r="B93" s="232" t="s">
        <v>368</v>
      </c>
      <c r="C93" s="232" t="s">
        <v>369</v>
      </c>
      <c r="D93" s="232" t="s">
        <v>370</v>
      </c>
    </row>
    <row r="94" spans="1:4" s="233" customFormat="1" ht="16.5" x14ac:dyDescent="0.2">
      <c r="A94" s="126">
        <v>84</v>
      </c>
      <c r="B94" s="232" t="s">
        <v>371</v>
      </c>
      <c r="C94" s="232"/>
      <c r="D94" s="232"/>
    </row>
    <row r="95" spans="1:4" s="233" customFormat="1" x14ac:dyDescent="0.2">
      <c r="A95" s="126">
        <v>85</v>
      </c>
      <c r="B95" s="232" t="s">
        <v>374</v>
      </c>
      <c r="C95" s="232" t="s">
        <v>375</v>
      </c>
      <c r="D95" s="232" t="s">
        <v>376</v>
      </c>
    </row>
    <row r="96" spans="1:4" s="233" customFormat="1" ht="16.5" x14ac:dyDescent="0.2">
      <c r="A96" s="126">
        <v>86</v>
      </c>
      <c r="B96" s="232" t="s">
        <v>377</v>
      </c>
      <c r="C96" s="232" t="s">
        <v>158</v>
      </c>
      <c r="D96" s="232" t="s">
        <v>378</v>
      </c>
    </row>
    <row r="97" spans="1:4" s="233" customFormat="1" ht="16.5" x14ac:dyDescent="0.2">
      <c r="A97" s="126">
        <v>87</v>
      </c>
      <c r="B97" s="232" t="s">
        <v>379</v>
      </c>
      <c r="C97" s="232" t="s">
        <v>158</v>
      </c>
      <c r="D97" s="232" t="s">
        <v>179</v>
      </c>
    </row>
    <row r="98" spans="1:4" s="233" customFormat="1" ht="16.5" x14ac:dyDescent="0.2">
      <c r="A98" s="126">
        <v>88</v>
      </c>
      <c r="B98" s="232" t="s">
        <v>380</v>
      </c>
      <c r="C98" s="232" t="s">
        <v>175</v>
      </c>
      <c r="D98" s="232" t="s">
        <v>381</v>
      </c>
    </row>
    <row r="99" spans="1:4" s="233" customFormat="1" ht="16.5" x14ac:dyDescent="0.2">
      <c r="A99" s="126">
        <v>89</v>
      </c>
      <c r="B99" s="232" t="s">
        <v>382</v>
      </c>
      <c r="C99" s="232" t="s">
        <v>264</v>
      </c>
      <c r="D99" s="232" t="s">
        <v>383</v>
      </c>
    </row>
    <row r="100" spans="1:4" s="233" customFormat="1" ht="16.5" x14ac:dyDescent="0.2">
      <c r="A100" s="126">
        <v>90</v>
      </c>
      <c r="B100" s="232" t="s">
        <v>384</v>
      </c>
      <c r="C100" s="232" t="s">
        <v>166</v>
      </c>
      <c r="D100" s="232" t="s">
        <v>385</v>
      </c>
    </row>
    <row r="101" spans="1:4" s="233" customFormat="1" ht="16.5" x14ac:dyDescent="0.2">
      <c r="A101" s="126">
        <v>91</v>
      </c>
      <c r="B101" s="232" t="s">
        <v>386</v>
      </c>
      <c r="C101" s="232" t="s">
        <v>251</v>
      </c>
      <c r="D101" s="232" t="s">
        <v>387</v>
      </c>
    </row>
    <row r="102" spans="1:4" s="237" customFormat="1" ht="22.5" x14ac:dyDescent="0.2">
      <c r="B102" s="264" t="s">
        <v>942</v>
      </c>
      <c r="C102" s="225"/>
      <c r="D102" s="225"/>
    </row>
    <row r="103" spans="1:4" s="245" customFormat="1" ht="22.5" x14ac:dyDescent="0.2">
      <c r="A103" s="244"/>
      <c r="B103" s="246" t="s">
        <v>138</v>
      </c>
      <c r="C103" s="244"/>
      <c r="D103" s="244"/>
    </row>
    <row r="104" spans="1:4" s="233" customFormat="1" ht="16.5" x14ac:dyDescent="0.2">
      <c r="A104" s="126">
        <v>201</v>
      </c>
      <c r="B104" s="232" t="s">
        <v>154</v>
      </c>
      <c r="C104" s="232" t="s">
        <v>155</v>
      </c>
      <c r="D104" s="232" t="s">
        <v>156</v>
      </c>
    </row>
    <row r="105" spans="1:4" s="233" customFormat="1" ht="16.5" x14ac:dyDescent="0.2">
      <c r="A105" s="126">
        <v>202</v>
      </c>
      <c r="B105" s="232" t="s">
        <v>183</v>
      </c>
      <c r="C105" s="232"/>
      <c r="D105" s="232"/>
    </row>
    <row r="106" spans="1:4" s="233" customFormat="1" ht="45" x14ac:dyDescent="0.2">
      <c r="A106" s="126">
        <v>203</v>
      </c>
      <c r="B106" s="232" t="s">
        <v>139</v>
      </c>
      <c r="C106" s="232" t="s">
        <v>190</v>
      </c>
      <c r="D106" s="232" t="s">
        <v>853</v>
      </c>
    </row>
    <row r="107" spans="1:4" s="233" customFormat="1" ht="16.5" x14ac:dyDescent="0.2">
      <c r="A107" s="126">
        <v>204</v>
      </c>
      <c r="B107" s="232" t="s">
        <v>269</v>
      </c>
      <c r="C107" s="232" t="s">
        <v>270</v>
      </c>
      <c r="D107" s="232" t="s">
        <v>271</v>
      </c>
    </row>
    <row r="108" spans="1:4" s="233" customFormat="1" ht="16.5" x14ac:dyDescent="0.2">
      <c r="A108" s="126">
        <v>205</v>
      </c>
      <c r="B108" s="232" t="s">
        <v>301</v>
      </c>
      <c r="C108" s="232"/>
      <c r="D108" s="232"/>
    </row>
    <row r="109" spans="1:4" s="233" customFormat="1" x14ac:dyDescent="0.2">
      <c r="A109" s="126">
        <v>206</v>
      </c>
      <c r="B109" s="232" t="s">
        <v>452</v>
      </c>
      <c r="C109" s="232" t="s">
        <v>302</v>
      </c>
      <c r="D109" s="232" t="s">
        <v>854</v>
      </c>
    </row>
    <row r="110" spans="1:4" s="233" customFormat="1" x14ac:dyDescent="0.2">
      <c r="A110" s="126">
        <v>207</v>
      </c>
      <c r="B110" s="232" t="s">
        <v>312</v>
      </c>
      <c r="C110" s="232" t="s">
        <v>313</v>
      </c>
      <c r="D110" s="232" t="s">
        <v>855</v>
      </c>
    </row>
    <row r="111" spans="1:4" s="233" customFormat="1" ht="16.5" x14ac:dyDescent="0.2">
      <c r="A111" s="126">
        <v>208</v>
      </c>
      <c r="B111" s="232" t="s">
        <v>325</v>
      </c>
      <c r="C111" s="232" t="s">
        <v>326</v>
      </c>
      <c r="D111" s="232" t="s">
        <v>327</v>
      </c>
    </row>
    <row r="112" spans="1:4" s="233" customFormat="1" ht="16.5" x14ac:dyDescent="0.2">
      <c r="A112" s="126">
        <v>209</v>
      </c>
      <c r="B112" s="232" t="s">
        <v>336</v>
      </c>
      <c r="C112" s="232" t="s">
        <v>337</v>
      </c>
      <c r="D112" s="232" t="s">
        <v>338</v>
      </c>
    </row>
    <row r="113" spans="1:4" s="233" customFormat="1" x14ac:dyDescent="0.2">
      <c r="A113" s="126">
        <v>210</v>
      </c>
      <c r="B113" s="232" t="s">
        <v>343</v>
      </c>
      <c r="C113" s="232" t="s">
        <v>344</v>
      </c>
      <c r="D113" s="232" t="s">
        <v>345</v>
      </c>
    </row>
    <row r="114" spans="1:4" s="233" customFormat="1" ht="16.5" x14ac:dyDescent="0.2">
      <c r="A114" s="126">
        <v>211</v>
      </c>
      <c r="B114" s="232" t="s">
        <v>372</v>
      </c>
      <c r="C114" s="232" t="s">
        <v>373</v>
      </c>
      <c r="D114" s="232" t="s">
        <v>271</v>
      </c>
    </row>
    <row r="115" spans="1:4" s="233" customFormat="1" ht="45" x14ac:dyDescent="0.2">
      <c r="A115" s="126">
        <v>212</v>
      </c>
      <c r="B115" s="232" t="s">
        <v>448</v>
      </c>
      <c r="C115" s="232" t="s">
        <v>444</v>
      </c>
      <c r="D115" s="232" t="s">
        <v>449</v>
      </c>
    </row>
    <row r="116" spans="1:4" s="233" customFormat="1" ht="45" x14ac:dyDescent="0.2">
      <c r="A116" s="126">
        <v>213</v>
      </c>
      <c r="B116" s="232" t="s">
        <v>446</v>
      </c>
      <c r="C116" s="232" t="s">
        <v>444</v>
      </c>
      <c r="D116" s="232" t="s">
        <v>450</v>
      </c>
    </row>
    <row r="117" spans="1:4" s="233" customFormat="1" ht="45" x14ac:dyDescent="0.2">
      <c r="A117" s="126">
        <v>214</v>
      </c>
      <c r="B117" s="232" t="s">
        <v>447</v>
      </c>
      <c r="C117" s="232" t="s">
        <v>444</v>
      </c>
      <c r="D117" s="232" t="s">
        <v>451</v>
      </c>
    </row>
    <row r="118" spans="1:4" s="233" customFormat="1" ht="90" x14ac:dyDescent="0.2">
      <c r="A118" s="126">
        <v>215</v>
      </c>
      <c r="B118" s="232" t="s">
        <v>799</v>
      </c>
      <c r="C118" s="232" t="s">
        <v>856</v>
      </c>
      <c r="D118" s="232" t="s">
        <v>944</v>
      </c>
    </row>
    <row r="119" spans="1:4" s="233" customFormat="1" ht="16.5" x14ac:dyDescent="0.2">
      <c r="A119" s="126"/>
      <c r="B119" s="232"/>
      <c r="C119" s="232"/>
      <c r="D119" s="232"/>
    </row>
    <row r="120" spans="1:4" ht="30" customHeight="1" x14ac:dyDescent="0.45">
      <c r="A120" s="251"/>
      <c r="B120" s="606" t="s">
        <v>948</v>
      </c>
      <c r="C120" s="606"/>
      <c r="D120" s="606"/>
    </row>
    <row r="121" spans="1:4" ht="30" customHeight="1" x14ac:dyDescent="0.35">
      <c r="A121" s="124">
        <v>901</v>
      </c>
      <c r="B121" s="131" t="s">
        <v>388</v>
      </c>
      <c r="C121" s="131" t="s">
        <v>389</v>
      </c>
      <c r="D121" s="131" t="s">
        <v>390</v>
      </c>
    </row>
    <row r="122" spans="1:4" ht="30" customHeight="1" x14ac:dyDescent="0.35">
      <c r="A122" s="124">
        <v>902</v>
      </c>
      <c r="B122" s="131" t="s">
        <v>391</v>
      </c>
      <c r="C122" s="131" t="s">
        <v>392</v>
      </c>
      <c r="D122" s="131" t="s">
        <v>393</v>
      </c>
    </row>
    <row r="123" spans="1:4" ht="30" customHeight="1" x14ac:dyDescent="0.35">
      <c r="A123" s="124">
        <v>903</v>
      </c>
      <c r="B123" s="131" t="s">
        <v>394</v>
      </c>
      <c r="C123" s="131" t="s">
        <v>395</v>
      </c>
      <c r="D123" s="131" t="s">
        <v>179</v>
      </c>
    </row>
    <row r="124" spans="1:4" ht="30" customHeight="1" x14ac:dyDescent="0.35">
      <c r="A124" s="124">
        <v>904</v>
      </c>
      <c r="B124" s="131" t="s">
        <v>396</v>
      </c>
      <c r="C124" s="131" t="s">
        <v>397</v>
      </c>
      <c r="D124" s="131" t="s">
        <v>398</v>
      </c>
    </row>
    <row r="125" spans="1:4" ht="30" customHeight="1" x14ac:dyDescent="0.35">
      <c r="A125" s="124">
        <v>905</v>
      </c>
      <c r="B125" s="131" t="s">
        <v>197</v>
      </c>
      <c r="C125" s="131" t="s">
        <v>399</v>
      </c>
      <c r="D125" s="131" t="s">
        <v>400</v>
      </c>
    </row>
    <row r="126" spans="1:4" ht="30" customHeight="1" x14ac:dyDescent="0.35">
      <c r="A126" s="124">
        <v>906</v>
      </c>
      <c r="B126" s="131" t="s">
        <v>401</v>
      </c>
      <c r="C126" s="131" t="s">
        <v>402</v>
      </c>
      <c r="D126" s="131" t="s">
        <v>403</v>
      </c>
    </row>
    <row r="127" spans="1:4" ht="30" customHeight="1" x14ac:dyDescent="0.35">
      <c r="A127" s="124">
        <v>907</v>
      </c>
      <c r="B127" s="131" t="s">
        <v>404</v>
      </c>
      <c r="C127" s="131" t="s">
        <v>402</v>
      </c>
      <c r="D127" s="131" t="s">
        <v>179</v>
      </c>
    </row>
    <row r="128" spans="1:4" ht="30" customHeight="1" x14ac:dyDescent="0.35">
      <c r="A128" s="124">
        <v>908</v>
      </c>
      <c r="B128" s="131" t="s">
        <v>405</v>
      </c>
      <c r="C128" s="131" t="s">
        <v>406</v>
      </c>
      <c r="D128" s="131" t="s">
        <v>407</v>
      </c>
    </row>
    <row r="129" spans="1:4" ht="30" customHeight="1" x14ac:dyDescent="0.35">
      <c r="A129" s="124">
        <v>909</v>
      </c>
      <c r="B129" s="131" t="s">
        <v>408</v>
      </c>
      <c r="C129" s="131" t="s">
        <v>409</v>
      </c>
      <c r="D129" s="131" t="s">
        <v>410</v>
      </c>
    </row>
    <row r="130" spans="1:4" ht="30" customHeight="1" x14ac:dyDescent="0.35">
      <c r="A130" s="124">
        <v>910</v>
      </c>
      <c r="B130" s="131" t="s">
        <v>411</v>
      </c>
      <c r="C130" s="131" t="s">
        <v>412</v>
      </c>
      <c r="D130" s="131" t="s">
        <v>413</v>
      </c>
    </row>
    <row r="131" spans="1:4" ht="30" customHeight="1" x14ac:dyDescent="0.35">
      <c r="A131" s="124">
        <v>911</v>
      </c>
      <c r="B131" s="131" t="s">
        <v>414</v>
      </c>
      <c r="C131" s="131" t="s">
        <v>402</v>
      </c>
      <c r="D131" s="131" t="s">
        <v>179</v>
      </c>
    </row>
    <row r="132" spans="1:4" ht="30" customHeight="1" x14ac:dyDescent="0.35">
      <c r="A132" s="124">
        <v>912</v>
      </c>
      <c r="B132" s="131" t="s">
        <v>415</v>
      </c>
      <c r="C132" s="131" t="s">
        <v>402</v>
      </c>
      <c r="D132" s="131" t="s">
        <v>410</v>
      </c>
    </row>
    <row r="133" spans="1:4" ht="30" customHeight="1" x14ac:dyDescent="0.35">
      <c r="A133" s="124">
        <v>913</v>
      </c>
      <c r="B133" s="131" t="s">
        <v>416</v>
      </c>
      <c r="C133" s="131" t="s">
        <v>402</v>
      </c>
      <c r="D133" s="131" t="s">
        <v>417</v>
      </c>
    </row>
    <row r="134" spans="1:4" ht="30" customHeight="1" x14ac:dyDescent="0.35">
      <c r="A134" s="124">
        <v>914</v>
      </c>
      <c r="B134" s="131" t="s">
        <v>418</v>
      </c>
      <c r="C134" s="131" t="s">
        <v>402</v>
      </c>
      <c r="D134" s="131" t="s">
        <v>179</v>
      </c>
    </row>
  </sheetData>
  <sheetProtection sheet="1" objects="1" scenarios="1"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2021-09-27T18:15:43Z</cp:lastPrinted>
  <dcterms:created xsi:type="dcterms:W3CDTF">2010-11-19T08:34:34Z</dcterms:created>
  <dcterms:modified xsi:type="dcterms:W3CDTF">2021-12-10T19:46:52Z</dcterms:modified>
</cp:coreProperties>
</file>