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Werk (Wil)\Excel\Brouwrecepten\"/>
    </mc:Choice>
  </mc:AlternateContent>
  <workbookProtection workbookPassword="CC6F" lockStructure="1"/>
  <bookViews>
    <workbookView xWindow="0" yWindow="0" windowWidth="22695" windowHeight="12270" tabRatio="632"/>
  </bookViews>
  <sheets>
    <sheet name="berekening Wort" sheetId="1" r:id="rId1"/>
    <sheet name="processtappen" sheetId="17" r:id="rId2"/>
    <sheet name="vergisting" sheetId="3" r:id="rId3"/>
    <sheet name="aantekeningen" sheetId="4" r:id="rId4"/>
    <sheet name="mout" sheetId="12" r:id="rId5"/>
    <sheet name="suiker" sheetId="6" r:id="rId6"/>
    <sheet name="hop" sheetId="11" r:id="rId7"/>
    <sheet name="gist" sheetId="8" r:id="rId8"/>
    <sheet name="kruiden" sheetId="9" r:id="rId9"/>
    <sheet name="SG-Plato-Brix" sheetId="13" r:id="rId10"/>
    <sheet name="tabellen" sheetId="2" state="hidden" r:id="rId11"/>
    <sheet name="hulp r" sheetId="10" state="hidden" r:id="rId12"/>
    <sheet name="versie" sheetId="14" r:id="rId13"/>
    <sheet name="Sheet1" sheetId="18" r:id="rId14"/>
  </sheets>
  <definedNames>
    <definedName name="_xlnm.Print_Area" localSheetId="0">'berekening Wort'!$A$1:$K$58</definedName>
  </definedNames>
  <calcPr calcId="162913"/>
</workbook>
</file>

<file path=xl/calcChain.xml><?xml version="1.0" encoding="utf-8"?>
<calcChain xmlns="http://schemas.openxmlformats.org/spreadsheetml/2006/main">
  <c r="E15" i="1" l="1"/>
  <c r="C17" i="1"/>
  <c r="C16" i="1"/>
  <c r="D17" i="1"/>
  <c r="C21" i="1"/>
  <c r="P28" i="1"/>
  <c r="A28" i="1" s="1"/>
  <c r="P29" i="1"/>
  <c r="A29" i="1" s="1"/>
  <c r="P30" i="1"/>
  <c r="A30" i="1" s="1"/>
  <c r="P31" i="1"/>
  <c r="A31" i="1" s="1"/>
  <c r="L50" i="2" s="1"/>
  <c r="P32" i="1"/>
  <c r="A32" i="1" s="1"/>
  <c r="L60" i="2" s="1"/>
  <c r="P33" i="1"/>
  <c r="A33" i="1" s="1"/>
  <c r="L70" i="2" s="1"/>
  <c r="P34" i="1"/>
  <c r="A34" i="1" s="1"/>
  <c r="L80" i="2" s="1"/>
  <c r="P21" i="1"/>
  <c r="A21" i="1" s="1"/>
  <c r="P27" i="1"/>
  <c r="A27" i="1" s="1"/>
  <c r="P20" i="1"/>
  <c r="A20" i="1" s="1"/>
  <c r="P14" i="1"/>
  <c r="A14" i="1" s="1"/>
  <c r="P15" i="1"/>
  <c r="A15" i="1" s="1"/>
  <c r="P16" i="1"/>
  <c r="A16" i="1" s="1"/>
  <c r="P17" i="1"/>
  <c r="A17" i="1" s="1"/>
  <c r="P18" i="1"/>
  <c r="A18" i="1" s="1"/>
  <c r="P12" i="1"/>
  <c r="A12" i="1" s="1"/>
  <c r="P13" i="1"/>
  <c r="A13" i="1" s="1"/>
  <c r="P11" i="1"/>
  <c r="A11" i="1" s="1"/>
  <c r="C12" i="1"/>
  <c r="D56" i="1"/>
  <c r="A22" i="1"/>
  <c r="G22" i="1" s="1"/>
  <c r="D27" i="1"/>
  <c r="K10" i="2" s="1"/>
  <c r="E14" i="1"/>
  <c r="E16" i="1"/>
  <c r="D15" i="1"/>
  <c r="D14" i="1"/>
  <c r="D16" i="1"/>
  <c r="C14" i="1"/>
  <c r="C15" i="1"/>
  <c r="J5" i="1"/>
  <c r="C11" i="1"/>
  <c r="D11" i="1"/>
  <c r="E11" i="1"/>
  <c r="D12" i="1"/>
  <c r="E12" i="1"/>
  <c r="C13" i="1"/>
  <c r="D13" i="1"/>
  <c r="E13" i="1"/>
  <c r="E17" i="1"/>
  <c r="C18" i="1"/>
  <c r="D18" i="1"/>
  <c r="E18" i="1"/>
  <c r="C20" i="1"/>
  <c r="D20" i="1"/>
  <c r="E20" i="1"/>
  <c r="D21" i="1"/>
  <c r="E21" i="1"/>
  <c r="C22" i="1"/>
  <c r="D22" i="1"/>
  <c r="E22" i="1"/>
  <c r="C27" i="1"/>
  <c r="C28" i="1"/>
  <c r="D28" i="1"/>
  <c r="K20" i="2" s="1"/>
  <c r="C29" i="1"/>
  <c r="D29" i="1"/>
  <c r="K30" i="2" s="1"/>
  <c r="C30" i="1"/>
  <c r="D30" i="1"/>
  <c r="K40" i="2" s="1"/>
  <c r="C31" i="1"/>
  <c r="D31" i="1"/>
  <c r="K50" i="2" s="1"/>
  <c r="C32" i="1"/>
  <c r="D32" i="1"/>
  <c r="K60" i="2" s="1"/>
  <c r="C33" i="1"/>
  <c r="D33" i="1"/>
  <c r="K70" i="2" s="1"/>
  <c r="C34" i="1"/>
  <c r="D34" i="1"/>
  <c r="K80" i="2" s="1"/>
  <c r="C37" i="1"/>
  <c r="C38" i="1"/>
  <c r="C39" i="1"/>
  <c r="C41" i="1"/>
  <c r="B32" i="17" s="1"/>
  <c r="C42" i="1"/>
  <c r="B33" i="17" s="1"/>
  <c r="C43" i="1"/>
  <c r="I53" i="1"/>
  <c r="B14" i="2" s="1"/>
  <c r="J53" i="1"/>
  <c r="B16" i="2" s="1"/>
  <c r="D57" i="1"/>
  <c r="D58" i="1"/>
  <c r="A1" i="17"/>
  <c r="C8" i="17"/>
  <c r="C10" i="17"/>
  <c r="C11" i="17"/>
  <c r="C12" i="17"/>
  <c r="C13" i="17"/>
  <c r="C14" i="17"/>
  <c r="C16" i="17"/>
  <c r="C17" i="17"/>
  <c r="C19" i="17"/>
  <c r="C21" i="17"/>
  <c r="C22" i="17"/>
  <c r="C23" i="17"/>
  <c r="C26" i="17"/>
  <c r="C27" i="17"/>
  <c r="C28" i="17"/>
  <c r="C29" i="17"/>
  <c r="C30" i="17"/>
  <c r="C31" i="17"/>
  <c r="C32" i="17"/>
  <c r="C33" i="17"/>
  <c r="C43" i="17"/>
  <c r="C45" i="17"/>
  <c r="C46" i="17"/>
  <c r="A4" i="2"/>
  <c r="D5" i="2" s="1"/>
  <c r="B4" i="2"/>
  <c r="E5" i="2" s="1"/>
  <c r="A6" i="2"/>
  <c r="D6" i="2" s="1"/>
  <c r="B6" i="2"/>
  <c r="A8" i="2"/>
  <c r="D8" i="2" s="1"/>
  <c r="B8" i="2"/>
  <c r="A10" i="2"/>
  <c r="D11" i="2" s="1"/>
  <c r="B10" i="2"/>
  <c r="M10" i="2"/>
  <c r="P18" i="2" s="1"/>
  <c r="S18" i="2" s="1"/>
  <c r="Q11" i="2"/>
  <c r="Q12" i="2" s="1"/>
  <c r="Q13" i="2" s="1"/>
  <c r="Q14" i="2" s="1"/>
  <c r="Q15" i="2" s="1"/>
  <c r="Q16" i="2" s="1"/>
  <c r="Q17" i="2" s="1"/>
  <c r="Q18" i="2" s="1"/>
  <c r="A12" i="2"/>
  <c r="D13" i="2" s="1"/>
  <c r="B12" i="2"/>
  <c r="U12" i="2"/>
  <c r="U13" i="2" s="1"/>
  <c r="U14" i="2" s="1"/>
  <c r="U15" i="2" s="1"/>
  <c r="U16" i="2" s="1"/>
  <c r="U17" i="2" s="1"/>
  <c r="U18" i="2" s="1"/>
  <c r="U19" i="2" s="1"/>
  <c r="U20" i="2" s="1"/>
  <c r="U21" i="2" s="1"/>
  <c r="U22" i="2" s="1"/>
  <c r="U23" i="2" s="1"/>
  <c r="U24" i="2" s="1"/>
  <c r="U25" i="2" s="1"/>
  <c r="U26" i="2" s="1"/>
  <c r="U27" i="2"/>
  <c r="U28" i="2" s="1"/>
  <c r="U29" i="2" s="1"/>
  <c r="U30" i="2" s="1"/>
  <c r="A14" i="2"/>
  <c r="A16" i="2"/>
  <c r="B18" i="2" s="1"/>
  <c r="A18" i="2"/>
  <c r="M20" i="2"/>
  <c r="P21" i="2" s="1"/>
  <c r="S21" i="2" s="1"/>
  <c r="Q21" i="2"/>
  <c r="Q22" i="2" s="1"/>
  <c r="Q23" i="2" s="1"/>
  <c r="Q24" i="2" s="1"/>
  <c r="Q25" i="2" s="1"/>
  <c r="Q26" i="2" s="1"/>
  <c r="Q27" i="2" s="1"/>
  <c r="Q28" i="2" s="1"/>
  <c r="M30" i="2"/>
  <c r="P31" i="2" s="1"/>
  <c r="S31" i="2" s="1"/>
  <c r="Q31" i="2"/>
  <c r="Q32" i="2" s="1"/>
  <c r="Q33" i="2" s="1"/>
  <c r="Q34" i="2" s="1"/>
  <c r="Q35" i="2" s="1"/>
  <c r="Q36" i="2" s="1"/>
  <c r="Q37" i="2" s="1"/>
  <c r="Q38" i="2" s="1"/>
  <c r="BF31" i="2"/>
  <c r="BF32" i="2"/>
  <c r="BF33" i="2"/>
  <c r="BF34" i="2"/>
  <c r="BF35" i="2"/>
  <c r="BF36" i="2"/>
  <c r="BF37" i="2"/>
  <c r="BF38" i="2"/>
  <c r="BF39" i="2"/>
  <c r="M40" i="2"/>
  <c r="P42" i="2" s="1"/>
  <c r="S42" i="2" s="1"/>
  <c r="BF40" i="2"/>
  <c r="Q41" i="2"/>
  <c r="Q42" i="2" s="1"/>
  <c r="Q43" i="2" s="1"/>
  <c r="Q44" i="2" s="1"/>
  <c r="Q45" i="2" s="1"/>
  <c r="Q46" i="2" s="1"/>
  <c r="Q47" i="2" s="1"/>
  <c r="Q48" i="2" s="1"/>
  <c r="BF41" i="2"/>
  <c r="BF42" i="2"/>
  <c r="BF43" i="2"/>
  <c r="M50" i="2"/>
  <c r="P55" i="2" s="1"/>
  <c r="S55" i="2" s="1"/>
  <c r="Q51" i="2"/>
  <c r="Q52" i="2" s="1"/>
  <c r="Q53" i="2" s="1"/>
  <c r="Q54" i="2" s="1"/>
  <c r="Q55" i="2" s="1"/>
  <c r="Q56" i="2" s="1"/>
  <c r="Q57" i="2" s="1"/>
  <c r="Q58" i="2" s="1"/>
  <c r="M60" i="2"/>
  <c r="P63" i="2" s="1"/>
  <c r="S63" i="2" s="1"/>
  <c r="Q61" i="2"/>
  <c r="Q62" i="2" s="1"/>
  <c r="Q63" i="2" s="1"/>
  <c r="Q64" i="2" s="1"/>
  <c r="Q65" i="2" s="1"/>
  <c r="Q66" i="2" s="1"/>
  <c r="Q67" i="2" s="1"/>
  <c r="Q68" i="2" s="1"/>
  <c r="M70" i="2"/>
  <c r="P73" i="2" s="1"/>
  <c r="S73" i="2" s="1"/>
  <c r="Q71" i="2"/>
  <c r="Q72" i="2" s="1"/>
  <c r="Q73" i="2" s="1"/>
  <c r="Q74" i="2" s="1"/>
  <c r="Q75" i="2" s="1"/>
  <c r="Q76" i="2" s="1"/>
  <c r="Q77" i="2" s="1"/>
  <c r="Q78" i="2" s="1"/>
  <c r="M80" i="2"/>
  <c r="P88" i="2" s="1"/>
  <c r="S88" i="2" s="1"/>
  <c r="Q81" i="2"/>
  <c r="Q82" i="2" s="1"/>
  <c r="Q83" i="2" s="1"/>
  <c r="Q84" i="2" s="1"/>
  <c r="Q85" i="2" s="1"/>
  <c r="Q86" i="2" s="1"/>
  <c r="Q87" i="2" s="1"/>
  <c r="Q88" i="2" s="1"/>
  <c r="D7" i="2"/>
  <c r="P47" i="2"/>
  <c r="S47" i="2" s="1"/>
  <c r="P14" i="2" l="1"/>
  <c r="S14" i="2" s="1"/>
  <c r="D9" i="2"/>
  <c r="G14" i="1"/>
  <c r="G21" i="1"/>
  <c r="G16" i="1"/>
  <c r="G11" i="1"/>
  <c r="G15" i="1"/>
  <c r="G18" i="1"/>
  <c r="G13" i="1"/>
  <c r="G17" i="1"/>
  <c r="G12" i="1"/>
  <c r="G20" i="1"/>
  <c r="D4" i="2"/>
  <c r="P82" i="2"/>
  <c r="S82" i="2" s="1"/>
  <c r="P72" i="2"/>
  <c r="S72" i="2" s="1"/>
  <c r="P80" i="2"/>
  <c r="S80" i="2" s="1"/>
  <c r="P85" i="2"/>
  <c r="S85" i="2" s="1"/>
  <c r="P77" i="2"/>
  <c r="S77" i="2" s="1"/>
  <c r="P76" i="2"/>
  <c r="S76" i="2" s="1"/>
  <c r="P60" i="2"/>
  <c r="S60" i="2" s="1"/>
  <c r="P62" i="2"/>
  <c r="S62" i="2" s="1"/>
  <c r="P20" i="2"/>
  <c r="S20" i="2" s="1"/>
  <c r="P70" i="2"/>
  <c r="S70" i="2" s="1"/>
  <c r="P71" i="2"/>
  <c r="S71" i="2" s="1"/>
  <c r="P75" i="2"/>
  <c r="S75" i="2" s="1"/>
  <c r="P74" i="2"/>
  <c r="S74" i="2" s="1"/>
  <c r="P40" i="2"/>
  <c r="S40" i="2" s="1"/>
  <c r="P44" i="2"/>
  <c r="S44" i="2" s="1"/>
  <c r="P26" i="2"/>
  <c r="S26" i="2" s="1"/>
  <c r="P50" i="2"/>
  <c r="S50" i="2" s="1"/>
  <c r="P58" i="2"/>
  <c r="S58" i="2" s="1"/>
  <c r="P52" i="2"/>
  <c r="S52" i="2" s="1"/>
  <c r="P51" i="2"/>
  <c r="S51" i="2" s="1"/>
  <c r="P57" i="2"/>
  <c r="S57" i="2" s="1"/>
  <c r="P54" i="2"/>
  <c r="S54" i="2" s="1"/>
  <c r="F14" i="1"/>
  <c r="D10" i="2"/>
  <c r="P28" i="2"/>
  <c r="S28" i="2" s="1"/>
  <c r="P22" i="2"/>
  <c r="S22" i="2" s="1"/>
  <c r="P23" i="2"/>
  <c r="S23" i="2" s="1"/>
  <c r="P53" i="2"/>
  <c r="S53" i="2" s="1"/>
  <c r="P27" i="2"/>
  <c r="S27" i="2" s="1"/>
  <c r="P24" i="2"/>
  <c r="S24" i="2" s="1"/>
  <c r="P25" i="2"/>
  <c r="S25" i="2" s="1"/>
  <c r="B26" i="17"/>
  <c r="F13" i="1"/>
  <c r="L10" i="2"/>
  <c r="B30" i="17"/>
  <c r="L40" i="2"/>
  <c r="B29" i="17"/>
  <c r="F15" i="1"/>
  <c r="E58" i="1"/>
  <c r="F11" i="1"/>
  <c r="P78" i="2"/>
  <c r="S78" i="2" s="1"/>
  <c r="F18" i="1"/>
  <c r="P56" i="2"/>
  <c r="S56" i="2" s="1"/>
  <c r="F12" i="1"/>
  <c r="A24" i="1"/>
  <c r="J3" i="1"/>
  <c r="C7" i="17" s="1"/>
  <c r="F17" i="1"/>
  <c r="F21" i="1"/>
  <c r="D18" i="2"/>
  <c r="E6" i="2"/>
  <c r="E7" i="2" s="1"/>
  <c r="E8" i="2" s="1"/>
  <c r="E9" i="2" s="1"/>
  <c r="E9" i="10" s="1"/>
  <c r="F20" i="1"/>
  <c r="P30" i="2"/>
  <c r="S30" i="2" s="1"/>
  <c r="P38" i="2"/>
  <c r="S38" i="2" s="1"/>
  <c r="P34" i="2"/>
  <c r="S34" i="2" s="1"/>
  <c r="P33" i="2"/>
  <c r="S33" i="2" s="1"/>
  <c r="P37" i="2"/>
  <c r="S37" i="2" s="1"/>
  <c r="P36" i="2"/>
  <c r="S36" i="2" s="1"/>
  <c r="P32" i="2"/>
  <c r="S32" i="2" s="1"/>
  <c r="P35" i="2"/>
  <c r="S35" i="2" s="1"/>
  <c r="D14" i="2"/>
  <c r="D12" i="2"/>
  <c r="K53" i="1"/>
  <c r="C38" i="17" s="1"/>
  <c r="D19" i="2"/>
  <c r="B27" i="17"/>
  <c r="L20" i="2"/>
  <c r="B28" i="17"/>
  <c r="L30" i="2"/>
  <c r="A35" i="1"/>
  <c r="P67" i="2"/>
  <c r="S67" i="2" s="1"/>
  <c r="P61" i="2"/>
  <c r="S61" i="2" s="1"/>
  <c r="P68" i="2"/>
  <c r="S68" i="2" s="1"/>
  <c r="P64" i="2"/>
  <c r="S64" i="2" s="1"/>
  <c r="P66" i="2"/>
  <c r="S66" i="2" s="1"/>
  <c r="P65" i="2"/>
  <c r="S65" i="2" s="1"/>
  <c r="D17" i="2"/>
  <c r="D16" i="2"/>
  <c r="F22" i="1"/>
  <c r="P13" i="2"/>
  <c r="S13" i="2" s="1"/>
  <c r="P15" i="2"/>
  <c r="S15" i="2" s="1"/>
  <c r="P17" i="2"/>
  <c r="S17" i="2" s="1"/>
  <c r="P12" i="2"/>
  <c r="S12" i="2" s="1"/>
  <c r="P10" i="2"/>
  <c r="S10" i="2" s="1"/>
  <c r="P16" i="2"/>
  <c r="S16" i="2" s="1"/>
  <c r="P11" i="2"/>
  <c r="S11" i="2" s="1"/>
  <c r="P48" i="2"/>
  <c r="S48" i="2" s="1"/>
  <c r="P45" i="2"/>
  <c r="S45" i="2" s="1"/>
  <c r="P43" i="2"/>
  <c r="S43" i="2" s="1"/>
  <c r="P46" i="2"/>
  <c r="S46" i="2" s="1"/>
  <c r="P41" i="2"/>
  <c r="S41" i="2" s="1"/>
  <c r="F16" i="1"/>
  <c r="P81" i="2"/>
  <c r="S81" i="2" s="1"/>
  <c r="P86" i="2"/>
  <c r="S86" i="2" s="1"/>
  <c r="P84" i="2"/>
  <c r="S84" i="2" s="1"/>
  <c r="P87" i="2"/>
  <c r="S87" i="2" s="1"/>
  <c r="P83" i="2"/>
  <c r="S83" i="2" s="1"/>
  <c r="D15" i="2"/>
  <c r="E8" i="10" l="1"/>
  <c r="E2" i="10"/>
  <c r="E4" i="10"/>
  <c r="E5" i="10"/>
  <c r="E3" i="10"/>
  <c r="E6" i="10"/>
  <c r="E11" i="10"/>
  <c r="E7" i="10"/>
  <c r="E10" i="2"/>
  <c r="E11" i="2" s="1"/>
  <c r="E12" i="2" s="1"/>
  <c r="E14" i="10" s="1"/>
  <c r="E12" i="10"/>
  <c r="E10" i="10"/>
  <c r="J4" i="1"/>
  <c r="G4" i="1"/>
  <c r="G6" i="1" s="1"/>
  <c r="F24" i="1"/>
  <c r="G24" i="1" s="1"/>
  <c r="E21" i="10" l="1"/>
  <c r="E22" i="10"/>
  <c r="E38" i="10"/>
  <c r="E45" i="10"/>
  <c r="E23" i="10"/>
  <c r="E47" i="10"/>
  <c r="E46" i="10"/>
  <c r="E17" i="10"/>
  <c r="E39" i="10"/>
  <c r="E33" i="10"/>
  <c r="E31" i="10"/>
  <c r="E27" i="10"/>
  <c r="E13" i="10"/>
  <c r="E26" i="10"/>
  <c r="E37" i="10"/>
  <c r="E40" i="10"/>
  <c r="E44" i="10"/>
  <c r="E30" i="10"/>
  <c r="E41" i="10"/>
  <c r="E32" i="10"/>
  <c r="E24" i="10"/>
  <c r="E15" i="10"/>
  <c r="E29" i="10"/>
  <c r="E36" i="10"/>
  <c r="E18" i="10"/>
  <c r="E16" i="10"/>
  <c r="E20" i="10"/>
  <c r="E42" i="10"/>
  <c r="E25" i="10"/>
  <c r="E43" i="10"/>
  <c r="E35" i="10"/>
  <c r="E34" i="10"/>
  <c r="E19" i="10"/>
  <c r="E28" i="10"/>
  <c r="J7" i="1"/>
  <c r="C4" i="3"/>
  <c r="C5" i="3" s="1"/>
  <c r="E21" i="3" s="1"/>
  <c r="K7" i="2"/>
  <c r="Q7" i="2" s="1"/>
  <c r="N70" i="2" s="1"/>
  <c r="I70" i="2" s="1"/>
  <c r="F33" i="1" s="1"/>
  <c r="E13" i="2"/>
  <c r="D3" i="1"/>
  <c r="B3" i="10" s="1"/>
  <c r="D4" i="1"/>
  <c r="E8" i="3" l="1"/>
  <c r="E22" i="3"/>
  <c r="E18" i="3"/>
  <c r="C18" i="3"/>
  <c r="D18" i="3" s="1"/>
  <c r="E20" i="3"/>
  <c r="C22" i="3"/>
  <c r="D22" i="3" s="1"/>
  <c r="E17" i="3"/>
  <c r="C7" i="3"/>
  <c r="D7" i="3" s="1"/>
  <c r="E13" i="3"/>
  <c r="C8" i="3"/>
  <c r="D8" i="3" s="1"/>
  <c r="C17" i="3"/>
  <c r="D17" i="3" s="1"/>
  <c r="E48" i="10"/>
  <c r="E11" i="3"/>
  <c r="E7" i="3"/>
  <c r="C21" i="3"/>
  <c r="D21" i="3" s="1"/>
  <c r="E16" i="3"/>
  <c r="E9" i="3"/>
  <c r="E15" i="3"/>
  <c r="E12" i="3"/>
  <c r="C9" i="3"/>
  <c r="D9" i="3" s="1"/>
  <c r="E19" i="3"/>
  <c r="C12" i="3"/>
  <c r="D12" i="3" s="1"/>
  <c r="C13" i="3"/>
  <c r="D13" i="3" s="1"/>
  <c r="C20" i="3"/>
  <c r="D20" i="3" s="1"/>
  <c r="E10" i="3"/>
  <c r="C19" i="3"/>
  <c r="D19" i="3" s="1"/>
  <c r="E14" i="3"/>
  <c r="C14" i="3"/>
  <c r="D14" i="3" s="1"/>
  <c r="C11" i="3"/>
  <c r="D11" i="3" s="1"/>
  <c r="C10" i="3"/>
  <c r="D10" i="3" s="1"/>
  <c r="C15" i="3"/>
  <c r="D15" i="3" s="1"/>
  <c r="C16" i="3"/>
  <c r="D16" i="3" s="1"/>
  <c r="N20" i="2"/>
  <c r="I20" i="2" s="1"/>
  <c r="F28" i="1" s="1"/>
  <c r="N10" i="2"/>
  <c r="I10" i="2" s="1"/>
  <c r="F27" i="1" s="1"/>
  <c r="N60" i="2"/>
  <c r="I60" i="2" s="1"/>
  <c r="F32" i="1" s="1"/>
  <c r="N80" i="2"/>
  <c r="I80" i="2" s="1"/>
  <c r="F34" i="1" s="1"/>
  <c r="E14" i="2"/>
  <c r="N30" i="2"/>
  <c r="I30" i="2" s="1"/>
  <c r="F29" i="1" s="1"/>
  <c r="N50" i="2"/>
  <c r="I50" i="2" s="1"/>
  <c r="F31" i="1" s="1"/>
  <c r="N40" i="2"/>
  <c r="I40" i="2" s="1"/>
  <c r="F30" i="1" s="1"/>
  <c r="G3" i="1"/>
  <c r="B4" i="10"/>
  <c r="B5" i="10" s="1"/>
  <c r="B6" i="10" s="1"/>
  <c r="E1" i="1" s="1"/>
  <c r="D5" i="1"/>
  <c r="E49" i="10" l="1"/>
  <c r="E52" i="10"/>
  <c r="E51" i="10"/>
  <c r="E73" i="10"/>
  <c r="E50" i="10"/>
  <c r="E83" i="10"/>
  <c r="F35" i="1"/>
  <c r="D6" i="1" s="1"/>
  <c r="D7" i="1" s="1"/>
  <c r="E15" i="2"/>
  <c r="E782" i="10" s="1"/>
  <c r="E109" i="10"/>
  <c r="E232" i="10" l="1"/>
  <c r="E609" i="10"/>
  <c r="E114" i="10"/>
  <c r="E137" i="10"/>
  <c r="E391" i="10"/>
  <c r="E345" i="10"/>
  <c r="E191" i="10"/>
  <c r="E514" i="10"/>
  <c r="E544" i="10"/>
  <c r="E346" i="10"/>
  <c r="E355" i="10"/>
  <c r="E749" i="10"/>
  <c r="E142" i="10"/>
  <c r="E153" i="10"/>
  <c r="E118" i="10"/>
  <c r="E383" i="10"/>
  <c r="E213" i="10"/>
  <c r="E776" i="10"/>
  <c r="E505" i="10"/>
  <c r="E291" i="10"/>
  <c r="E560" i="10"/>
  <c r="E477" i="10"/>
  <c r="E624" i="10"/>
  <c r="E259" i="10"/>
  <c r="E724" i="10"/>
  <c r="E634" i="10"/>
  <c r="E215" i="10"/>
  <c r="E201" i="10"/>
  <c r="E709" i="10"/>
  <c r="E538" i="10"/>
  <c r="E682" i="10"/>
  <c r="E312" i="10"/>
  <c r="E434" i="10"/>
  <c r="E607" i="10"/>
  <c r="E788" i="10"/>
  <c r="E352" i="10"/>
  <c r="E288" i="10"/>
  <c r="E510" i="10"/>
  <c r="E470" i="10"/>
  <c r="E443" i="10"/>
  <c r="E762" i="10"/>
  <c r="E412" i="10"/>
  <c r="E386" i="10"/>
  <c r="E190" i="10"/>
  <c r="E452" i="10"/>
  <c r="E692" i="10"/>
  <c r="E521" i="10"/>
  <c r="E185" i="10"/>
  <c r="E697" i="10"/>
  <c r="E357" i="10"/>
  <c r="E785" i="10"/>
  <c r="E177" i="10"/>
  <c r="E197" i="10"/>
  <c r="E732" i="10"/>
  <c r="E311" i="10"/>
  <c r="E666" i="10"/>
  <c r="E567" i="10"/>
  <c r="E320" i="10"/>
  <c r="E167" i="10"/>
  <c r="E239" i="10"/>
  <c r="E397" i="10"/>
  <c r="E721" i="10"/>
  <c r="E370" i="10"/>
  <c r="E554" i="10"/>
  <c r="E562" i="10"/>
  <c r="E706" i="10"/>
  <c r="E687" i="10"/>
  <c r="E336" i="10"/>
  <c r="E589" i="10"/>
  <c r="E580" i="10"/>
  <c r="E135" i="10"/>
  <c r="E451" i="10"/>
  <c r="E404" i="10"/>
  <c r="E365" i="10"/>
  <c r="E433" i="10"/>
  <c r="E290" i="10"/>
  <c r="E659" i="10"/>
  <c r="E479" i="10"/>
  <c r="E539" i="10"/>
  <c r="E256" i="10"/>
  <c r="E330" i="10"/>
  <c r="E315" i="10"/>
  <c r="E428" i="10"/>
  <c r="E285" i="10"/>
  <c r="E274" i="10"/>
  <c r="E649" i="10"/>
  <c r="E445" i="10"/>
  <c r="E572" i="10"/>
  <c r="E448" i="10"/>
  <c r="E603" i="10"/>
  <c r="E171" i="10"/>
  <c r="E313" i="10"/>
  <c r="E574" i="10"/>
  <c r="E759" i="10"/>
  <c r="E476" i="10"/>
  <c r="E790" i="10"/>
  <c r="E162" i="10"/>
  <c r="E368" i="10"/>
  <c r="E430" i="10"/>
  <c r="E283" i="10"/>
  <c r="E252" i="10"/>
  <c r="E381" i="10"/>
  <c r="E287" i="10"/>
  <c r="E280" i="10"/>
  <c r="E701" i="10"/>
  <c r="E234" i="10"/>
  <c r="E130" i="10"/>
  <c r="E206" i="10"/>
  <c r="E731" i="10"/>
  <c r="E202" i="10"/>
  <c r="E742" i="10"/>
  <c r="E227" i="10"/>
  <c r="E524" i="10"/>
  <c r="E372" i="10"/>
  <c r="E449" i="10"/>
  <c r="E727" i="10"/>
  <c r="E192" i="10"/>
  <c r="E264" i="10"/>
  <c r="E364" i="10"/>
  <c r="E151" i="10"/>
  <c r="E240" i="10"/>
  <c r="E658" i="10"/>
  <c r="E237" i="10"/>
  <c r="E739" i="10"/>
  <c r="E228" i="10"/>
  <c r="E165" i="10"/>
  <c r="E369" i="10"/>
  <c r="E246" i="10"/>
  <c r="E147" i="10"/>
  <c r="E79" i="10"/>
  <c r="E97" i="10"/>
  <c r="E437" i="10"/>
  <c r="E316" i="10"/>
  <c r="E178" i="10"/>
  <c r="E622" i="10"/>
  <c r="E104" i="10"/>
  <c r="E620" i="10"/>
  <c r="E284" i="10"/>
  <c r="E224" i="10"/>
  <c r="E193" i="10"/>
  <c r="E663" i="10"/>
  <c r="E210" i="10"/>
  <c r="E767" i="10"/>
  <c r="E543" i="10"/>
  <c r="E282" i="10"/>
  <c r="E110" i="10"/>
  <c r="E350" i="10"/>
  <c r="E466" i="10"/>
  <c r="E690" i="10"/>
  <c r="E461" i="10"/>
  <c r="E216" i="10"/>
  <c r="E797" i="10"/>
  <c r="E244" i="10"/>
  <c r="E258" i="10"/>
  <c r="E253" i="10"/>
  <c r="E173" i="10"/>
  <c r="E795" i="10"/>
  <c r="E158" i="10"/>
  <c r="E127" i="10"/>
  <c r="E547" i="10"/>
  <c r="E632" i="10"/>
  <c r="E549" i="10"/>
  <c r="E356" i="10"/>
  <c r="E218" i="10"/>
  <c r="E645" i="10"/>
  <c r="E787" i="10"/>
  <c r="E139" i="10"/>
  <c r="E359" i="10"/>
  <c r="E691" i="10"/>
  <c r="E123" i="10"/>
  <c r="E550" i="10"/>
  <c r="E545" i="10"/>
  <c r="E651" i="10"/>
  <c r="E242" i="10"/>
  <c r="E480" i="10"/>
  <c r="E501" i="10"/>
  <c r="E530" i="10"/>
  <c r="E204" i="10"/>
  <c r="E149" i="10"/>
  <c r="E245" i="10"/>
  <c r="E703" i="10"/>
  <c r="E398" i="10"/>
  <c r="E573" i="10"/>
  <c r="E108" i="10"/>
  <c r="E679" i="10"/>
  <c r="E132" i="10"/>
  <c r="E170" i="10"/>
  <c r="E604" i="10"/>
  <c r="E340" i="10"/>
  <c r="E124" i="10"/>
  <c r="E277" i="10"/>
  <c r="E243" i="10"/>
  <c r="E462" i="10"/>
  <c r="E270" i="10"/>
  <c r="E421" i="10"/>
  <c r="E116" i="10"/>
  <c r="E371" i="10"/>
  <c r="E301" i="10"/>
  <c r="E768" i="10"/>
  <c r="E238" i="10"/>
  <c r="E154" i="10"/>
  <c r="E794" i="10"/>
  <c r="E275" i="10"/>
  <c r="E455" i="10"/>
  <c r="E557" i="10"/>
  <c r="E741" i="10"/>
  <c r="E314" i="10"/>
  <c r="E744" i="10"/>
  <c r="E569" i="10"/>
  <c r="E555" i="10"/>
  <c r="E296" i="10"/>
  <c r="E619" i="10"/>
  <c r="E602" i="10"/>
  <c r="E159" i="10"/>
  <c r="E310" i="10"/>
  <c r="E535" i="10"/>
  <c r="E458" i="10"/>
  <c r="E585" i="10"/>
  <c r="E156" i="10"/>
  <c r="E579" i="10"/>
  <c r="E140" i="10"/>
  <c r="E696" i="10"/>
  <c r="E96" i="10"/>
  <c r="E64" i="10"/>
  <c r="E91" i="10"/>
  <c r="E62" i="10"/>
  <c r="E54" i="10"/>
  <c r="E59" i="10"/>
  <c r="E84" i="10"/>
  <c r="E66" i="10"/>
  <c r="E90" i="10"/>
  <c r="E77" i="10"/>
  <c r="E68" i="10"/>
  <c r="E94" i="10"/>
  <c r="E74" i="10"/>
  <c r="E72" i="10"/>
  <c r="E67" i="10"/>
  <c r="E55" i="10"/>
  <c r="E56" i="10"/>
  <c r="E69" i="10"/>
  <c r="E92" i="10"/>
  <c r="E58" i="10"/>
  <c r="E63" i="10"/>
  <c r="E89" i="10"/>
  <c r="E60" i="10"/>
  <c r="E71" i="10"/>
  <c r="E75" i="10"/>
  <c r="E70" i="10"/>
  <c r="E86" i="10"/>
  <c r="E76" i="10"/>
  <c r="E61" i="10"/>
  <c r="E408" i="10"/>
  <c r="E95" i="10"/>
  <c r="E93" i="10"/>
  <c r="E65" i="10"/>
  <c r="E88" i="10"/>
  <c r="E81" i="10"/>
  <c r="E85" i="10"/>
  <c r="E80" i="10"/>
  <c r="E78" i="10"/>
  <c r="E87" i="10"/>
  <c r="E82" i="10"/>
  <c r="E53" i="10"/>
  <c r="E57" i="10"/>
  <c r="E98" i="10"/>
  <c r="E273" i="10"/>
  <c r="E125" i="10"/>
  <c r="E628" i="10"/>
  <c r="E678" i="10"/>
  <c r="E363" i="10"/>
  <c r="E599" i="10"/>
  <c r="E707" i="10"/>
  <c r="E343" i="10"/>
  <c r="E161" i="10"/>
  <c r="E327" i="10"/>
  <c r="E188" i="10"/>
  <c r="E584" i="10"/>
  <c r="E698" i="10"/>
  <c r="E594" i="10"/>
  <c r="E800" i="10"/>
  <c r="E115" i="10"/>
  <c r="E500" i="10"/>
  <c r="E348" i="10"/>
  <c r="E329" i="10"/>
  <c r="E483" i="10"/>
  <c r="E740" i="10"/>
  <c r="E726" i="10"/>
  <c r="E796" i="10"/>
  <c r="E586" i="10"/>
  <c r="E761" i="10"/>
  <c r="E587" i="10"/>
  <c r="E648" i="10"/>
  <c r="E506" i="10"/>
  <c r="E751" i="10"/>
  <c r="E257" i="10"/>
  <c r="E440" i="10"/>
  <c r="E780" i="10"/>
  <c r="E344" i="10"/>
  <c r="E684" i="10"/>
  <c r="E155" i="10"/>
  <c r="E674" i="10"/>
  <c r="E671" i="10"/>
  <c r="E249" i="10"/>
  <c r="E321" i="10"/>
  <c r="E436" i="10"/>
  <c r="E395" i="10"/>
  <c r="E775" i="10"/>
  <c r="E269" i="10"/>
  <c r="E106" i="10"/>
  <c r="E771" i="10"/>
  <c r="E323" i="10"/>
  <c r="E138" i="10"/>
  <c r="E618" i="10"/>
  <c r="E374" i="10"/>
  <c r="E683" i="10"/>
  <c r="E169" i="10"/>
  <c r="E133" i="10"/>
  <c r="E255" i="10"/>
  <c r="E119" i="10"/>
  <c r="E425" i="10"/>
  <c r="E163" i="10"/>
  <c r="E778" i="10"/>
  <c r="E650" i="10"/>
  <c r="E486" i="10"/>
  <c r="E495" i="10"/>
  <c r="E187" i="10"/>
  <c r="E205" i="10"/>
  <c r="E523" i="10"/>
  <c r="E611" i="10"/>
  <c r="E406" i="10"/>
  <c r="E375" i="10"/>
  <c r="E699" i="10"/>
  <c r="E268" i="10"/>
  <c r="E504" i="10"/>
  <c r="E180" i="10"/>
  <c r="E377" i="10"/>
  <c r="E233" i="10"/>
  <c r="E225" i="10"/>
  <c r="E409" i="10"/>
  <c r="E111" i="10"/>
  <c r="E512" i="10"/>
  <c r="E468" i="10"/>
  <c r="E376" i="10"/>
  <c r="E736" i="10"/>
  <c r="E773" i="10"/>
  <c r="E248" i="10"/>
  <c r="E389" i="10"/>
  <c r="E435" i="10"/>
  <c r="E189" i="10"/>
  <c r="E390" i="10"/>
  <c r="E236" i="10"/>
  <c r="E305" i="10"/>
  <c r="E157" i="10"/>
  <c r="E612" i="10"/>
  <c r="E143" i="10"/>
  <c r="E631" i="10"/>
  <c r="E673" i="10"/>
  <c r="E772" i="10"/>
  <c r="E148" i="10"/>
  <c r="E534" i="10"/>
  <c r="E235" i="10"/>
  <c r="E474" i="10"/>
  <c r="E415" i="10"/>
  <c r="E565" i="10"/>
  <c r="E783" i="10"/>
  <c r="E642" i="10"/>
  <c r="E136" i="10"/>
  <c r="E676" i="10"/>
  <c r="E112" i="10"/>
  <c r="E670" i="10"/>
  <c r="E271" i="10"/>
  <c r="E559" i="10"/>
  <c r="E392" i="10"/>
  <c r="E349" i="10"/>
  <c r="E103" i="10"/>
  <c r="E100" i="10"/>
  <c r="E99" i="10"/>
  <c r="E172" i="10"/>
  <c r="E725" i="10"/>
  <c r="E419" i="10"/>
  <c r="E638" i="10"/>
  <c r="E716" i="10"/>
  <c r="E399" i="10"/>
  <c r="E447" i="10"/>
  <c r="E324" i="10"/>
  <c r="E456" i="10"/>
  <c r="E378" i="10"/>
  <c r="E577" i="10"/>
  <c r="E411" i="10"/>
  <c r="E593" i="10"/>
  <c r="E598" i="10"/>
  <c r="E799" i="10"/>
  <c r="E576" i="10"/>
  <c r="E453" i="10"/>
  <c r="E241" i="10"/>
  <c r="E279" i="10"/>
  <c r="E446" i="10"/>
  <c r="E600" i="10"/>
  <c r="E122" i="10"/>
  <c r="E442" i="10"/>
  <c r="E718" i="10"/>
  <c r="E592" i="10"/>
  <c r="E750" i="10"/>
  <c r="E467" i="10"/>
  <c r="E160" i="10"/>
  <c r="E198" i="10"/>
  <c r="E403" i="10"/>
  <c r="E636" i="10"/>
  <c r="E358" i="10"/>
  <c r="E341" i="10"/>
  <c r="E426" i="10"/>
  <c r="E688" i="10"/>
  <c r="E546" i="10"/>
  <c r="E499" i="10"/>
  <c r="E588" i="10"/>
  <c r="E361" i="10"/>
  <c r="E769" i="10"/>
  <c r="E107" i="10"/>
  <c r="E396" i="10"/>
  <c r="E407" i="10"/>
  <c r="E765" i="10"/>
  <c r="E623" i="10"/>
  <c r="E295" i="10"/>
  <c r="E694" i="10"/>
  <c r="E571" i="10"/>
  <c r="E672" i="10"/>
  <c r="E700" i="10"/>
  <c r="E802" i="10"/>
  <c r="E482" i="10"/>
  <c r="E418" i="10"/>
  <c r="E792" i="10"/>
  <c r="E422" i="10"/>
  <c r="E533" i="10"/>
  <c r="E214" i="10"/>
  <c r="E332" i="10"/>
  <c r="E654" i="10"/>
  <c r="E513" i="10"/>
  <c r="E693" i="10"/>
  <c r="E640" i="10"/>
  <c r="E627" i="10"/>
  <c r="E387" i="10"/>
  <c r="E613" i="10"/>
  <c r="E639" i="10"/>
  <c r="E292" i="10"/>
  <c r="E564" i="10"/>
  <c r="E760" i="10"/>
  <c r="E738" i="10"/>
  <c r="E168" i="10"/>
  <c r="E652" i="10"/>
  <c r="E105" i="10"/>
  <c r="E801" i="10"/>
  <c r="E194" i="10"/>
  <c r="E508" i="10"/>
  <c r="E720" i="10"/>
  <c r="E450" i="10"/>
  <c r="E432" i="10"/>
  <c r="E542" i="10"/>
  <c r="E708" i="10"/>
  <c r="E583" i="10"/>
  <c r="E734" i="10"/>
  <c r="E102" i="10"/>
  <c r="E551" i="10"/>
  <c r="E335" i="10"/>
  <c r="E460" i="10"/>
  <c r="E176" i="10"/>
  <c r="E737" i="10"/>
  <c r="E276" i="10"/>
  <c r="E304" i="10"/>
  <c r="E200" i="10"/>
  <c r="E677" i="10"/>
  <c r="E297" i="10"/>
  <c r="E492" i="10"/>
  <c r="E793" i="10"/>
  <c r="E730" i="10"/>
  <c r="E735" i="10"/>
  <c r="E494" i="10"/>
  <c r="E756" i="10"/>
  <c r="E247" i="10"/>
  <c r="E531" i="10"/>
  <c r="E491" i="10"/>
  <c r="E657" i="10"/>
  <c r="E784" i="10"/>
  <c r="E552" i="10"/>
  <c r="E496" i="10"/>
  <c r="E717" i="10"/>
  <c r="E563" i="10"/>
  <c r="E481" i="10"/>
  <c r="E472" i="10"/>
  <c r="E590" i="10"/>
  <c r="E556" i="10"/>
  <c r="E763" i="10"/>
  <c r="E120" i="10"/>
  <c r="E664" i="10"/>
  <c r="E685" i="10"/>
  <c r="E540" i="10"/>
  <c r="E786" i="10"/>
  <c r="E152" i="10"/>
  <c r="E548" i="10"/>
  <c r="E581" i="10"/>
  <c r="E582" i="10"/>
  <c r="E714" i="10"/>
  <c r="E454" i="10"/>
  <c r="E595" i="10"/>
  <c r="E722" i="10"/>
  <c r="E325" i="10"/>
  <c r="E653" i="10"/>
  <c r="E401" i="10"/>
  <c r="E145" i="10"/>
  <c r="E608" i="10"/>
  <c r="E431" i="10"/>
  <c r="E498" i="10"/>
  <c r="E367" i="10"/>
  <c r="E746" i="10"/>
  <c r="E394" i="10"/>
  <c r="E532" i="10"/>
  <c r="E195" i="10"/>
  <c r="E441" i="10"/>
  <c r="E781" i="10"/>
  <c r="E438" i="10"/>
  <c r="E131" i="10"/>
  <c r="E515" i="10"/>
  <c r="E221" i="10"/>
  <c r="E630" i="10"/>
  <c r="E223" i="10"/>
  <c r="E331" i="10"/>
  <c r="E511" i="10"/>
  <c r="E570" i="10"/>
  <c r="E294" i="10"/>
  <c r="E770" i="10"/>
  <c r="E755" i="10"/>
  <c r="E617" i="10"/>
  <c r="E712" i="10"/>
  <c r="E208" i="10"/>
  <c r="E711" i="10"/>
  <c r="E272" i="10"/>
  <c r="E121" i="10"/>
  <c r="E354" i="10"/>
  <c r="E150" i="10"/>
  <c r="E199" i="10"/>
  <c r="E303" i="10"/>
  <c r="E334" i="10"/>
  <c r="E183" i="10"/>
  <c r="E281" i="10"/>
  <c r="E339" i="10"/>
  <c r="E309" i="10"/>
  <c r="E101" i="10"/>
  <c r="E705" i="10"/>
  <c r="E757" i="10"/>
  <c r="E662" i="10"/>
  <c r="E326" i="10"/>
  <c r="E261" i="10"/>
  <c r="E417" i="10"/>
  <c r="E493" i="10"/>
  <c r="E681" i="10"/>
  <c r="E635" i="10"/>
  <c r="E469" i="10"/>
  <c r="E410" i="10"/>
  <c r="E229" i="10"/>
  <c r="E289" i="10"/>
  <c r="E293" i="10"/>
  <c r="E384" i="10"/>
  <c r="E379" i="10"/>
  <c r="E484" i="10"/>
  <c r="E164" i="10"/>
  <c r="E174" i="10"/>
  <c r="E207" i="10"/>
  <c r="E748" i="10"/>
  <c r="E337" i="10"/>
  <c r="E420" i="10"/>
  <c r="E686" i="10"/>
  <c r="E710" i="10"/>
  <c r="E182" i="10"/>
  <c r="E517" i="10"/>
  <c r="E179" i="10"/>
  <c r="E166" i="10"/>
  <c r="E444" i="10"/>
  <c r="E298" i="10"/>
  <c r="E621" i="10"/>
  <c r="E719" i="10"/>
  <c r="E488" i="10"/>
  <c r="E429" i="10"/>
  <c r="E265" i="10"/>
  <c r="E516" i="10"/>
  <c r="E798" i="10"/>
  <c r="E317" i="10"/>
  <c r="E605" i="10"/>
  <c r="E457" i="10"/>
  <c r="E575" i="10"/>
  <c r="E646" i="10"/>
  <c r="E733" i="10"/>
  <c r="E302" i="10"/>
  <c r="E144" i="10"/>
  <c r="E743" i="10"/>
  <c r="E629" i="10"/>
  <c r="E661" i="10"/>
  <c r="E300" i="10"/>
  <c r="E606" i="10"/>
  <c r="E220" i="10"/>
  <c r="E497" i="10"/>
  <c r="E464" i="10"/>
  <c r="E509" i="10"/>
  <c r="E758" i="10"/>
  <c r="E553" i="10"/>
  <c r="E471" i="10"/>
  <c r="E713" i="10"/>
  <c r="E791" i="10"/>
  <c r="E729" i="10"/>
  <c r="E527" i="10"/>
  <c r="E610" i="10"/>
  <c r="E181" i="10"/>
  <c r="E318" i="10"/>
  <c r="E328" i="10"/>
  <c r="E647" i="10"/>
  <c r="E186" i="10"/>
  <c r="E644" i="10"/>
  <c r="E616" i="10"/>
  <c r="E522" i="10"/>
  <c r="E306" i="10"/>
  <c r="E250" i="10"/>
  <c r="E754" i="10"/>
  <c r="E175" i="10"/>
  <c r="E184" i="10"/>
  <c r="E558" i="10"/>
  <c r="E655" i="10"/>
  <c r="E286" i="10"/>
  <c r="E231" i="10"/>
  <c r="E413" i="10"/>
  <c r="E541" i="10"/>
  <c r="E414" i="10"/>
  <c r="E402" i="10"/>
  <c r="E439" i="10"/>
  <c r="E307" i="10"/>
  <c r="E525" i="10"/>
  <c r="E424" i="10"/>
  <c r="E333" i="10"/>
  <c r="E689" i="10"/>
  <c r="E490" i="10"/>
  <c r="E752" i="10"/>
  <c r="E351" i="10"/>
  <c r="E475" i="10"/>
  <c r="E764" i="10"/>
  <c r="E230" i="10"/>
  <c r="E260" i="10"/>
  <c r="E427" i="10"/>
  <c r="E503" i="10"/>
  <c r="E322" i="10"/>
  <c r="E766" i="10"/>
  <c r="E366" i="10"/>
  <c r="E113" i="10"/>
  <c r="E342" i="10"/>
  <c r="E507" i="10"/>
  <c r="E141" i="10"/>
  <c r="E209" i="10"/>
  <c r="E777" i="10"/>
  <c r="E463" i="10"/>
  <c r="E502" i="10"/>
  <c r="E526" i="10"/>
  <c r="E203" i="10"/>
  <c r="E614" i="10"/>
  <c r="E485" i="10"/>
  <c r="E667" i="10"/>
  <c r="E774" i="10"/>
  <c r="E637" i="10"/>
  <c r="E487" i="10"/>
  <c r="E459" i="10"/>
  <c r="E380" i="10"/>
  <c r="E566" i="10"/>
  <c r="E266" i="10"/>
  <c r="E267" i="10"/>
  <c r="E615" i="10"/>
  <c r="E117" i="10"/>
  <c r="E212" i="10"/>
  <c r="E385" i="10"/>
  <c r="E360" i="10"/>
  <c r="E626" i="10"/>
  <c r="E393" i="10"/>
  <c r="E373" i="10"/>
  <c r="E353" i="10"/>
  <c r="E338" i="10"/>
  <c r="E126" i="10"/>
  <c r="E262" i="10"/>
  <c r="E465" i="10"/>
  <c r="E753" i="10"/>
  <c r="E308" i="10"/>
  <c r="E665" i="10"/>
  <c r="E347" i="10"/>
  <c r="E217" i="10"/>
  <c r="E702" i="10"/>
  <c r="E219" i="10"/>
  <c r="E319" i="10"/>
  <c r="E388" i="10"/>
  <c r="E660" i="10"/>
  <c r="E478" i="10"/>
  <c r="E578" i="10"/>
  <c r="E222" i="10"/>
  <c r="E779" i="10"/>
  <c r="E601" i="10"/>
  <c r="E529" i="10"/>
  <c r="E362" i="10"/>
  <c r="E745" i="10"/>
  <c r="E400" i="10"/>
  <c r="E519" i="10"/>
  <c r="E211" i="10"/>
  <c r="E597" i="10"/>
  <c r="E669" i="10"/>
  <c r="E518" i="10"/>
  <c r="E641" i="10"/>
  <c r="E520" i="10"/>
  <c r="E254" i="10"/>
  <c r="E263" i="10"/>
  <c r="E128" i="10"/>
  <c r="E129" i="10"/>
  <c r="E723" i="10"/>
  <c r="E668" i="10"/>
  <c r="E473" i="10"/>
  <c r="E536" i="10"/>
  <c r="E704" i="10"/>
  <c r="E423" i="10"/>
  <c r="E747" i="10"/>
  <c r="E591" i="10"/>
  <c r="E728" i="10"/>
  <c r="E405" i="10"/>
  <c r="E680" i="10"/>
  <c r="E633" i="10"/>
  <c r="E299" i="10"/>
  <c r="E146" i="10"/>
  <c r="E643" i="10"/>
  <c r="E675" i="10"/>
  <c r="E251" i="10"/>
  <c r="E625" i="10"/>
  <c r="E416" i="10"/>
  <c r="E278" i="10"/>
  <c r="E537" i="10"/>
  <c r="E715" i="10"/>
  <c r="E656" i="10"/>
  <c r="E489" i="10"/>
  <c r="E561" i="10"/>
  <c r="E226" i="10"/>
  <c r="E382" i="10"/>
  <c r="E789" i="10"/>
  <c r="E196" i="10"/>
  <c r="E568" i="10"/>
  <c r="E16" i="2"/>
  <c r="E17" i="2" s="1"/>
  <c r="E18" i="2" s="1"/>
  <c r="E19" i="2" s="1"/>
  <c r="K58" i="1" s="1"/>
  <c r="E596" i="10"/>
  <c r="E134" i="10"/>
  <c r="E528" i="10"/>
  <c r="E695" i="10"/>
</calcChain>
</file>

<file path=xl/comments1.xml><?xml version="1.0" encoding="utf-8"?>
<comments xmlns="http://schemas.openxmlformats.org/spreadsheetml/2006/main">
  <authors>
    <author>Ser Vullings</author>
    <author/>
    <author>Wil</author>
    <author>Ton &amp; Petra</author>
  </authors>
  <commentList>
    <comment ref="A1" authorId="0" shapeId="0">
      <text>
        <r>
          <rPr>
            <i/>
            <sz val="8"/>
            <color indexed="81"/>
            <rFont val="Comic Sans MS"/>
            <family val="4"/>
          </rPr>
          <t>De brouwer:</t>
        </r>
        <r>
          <rPr>
            <sz val="8"/>
            <color indexed="81"/>
            <rFont val="Comic Sans MS"/>
            <family val="4"/>
          </rPr>
          <t xml:space="preserve">
Vul hier de naam van je bier in</t>
        </r>
      </text>
    </comment>
    <comment ref="D1"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klasse:</t>
        </r>
      </text>
    </comment>
    <comment ref="E1" authorId="0" shapeId="0">
      <text>
        <r>
          <rPr>
            <sz val="8"/>
            <color indexed="81"/>
            <rFont val="Tahoma"/>
            <family val="2"/>
          </rPr>
          <t xml:space="preserve">
</t>
        </r>
        <r>
          <rPr>
            <i/>
            <sz val="8"/>
            <color indexed="81"/>
            <rFont val="Tahoma"/>
            <family val="2"/>
          </rPr>
          <t>De brouwer:</t>
        </r>
        <r>
          <rPr>
            <sz val="8"/>
            <color indexed="81"/>
            <rFont val="Tahoma"/>
            <family val="2"/>
          </rPr>
          <t xml:space="preserve">
Bier naar klasse indeling,  wordt berekend aan de hand van alcohol en kleur met gebruik making van de tabel</t>
        </r>
        <r>
          <rPr>
            <b/>
            <sz val="8"/>
            <color indexed="81"/>
            <rFont val="Tahoma"/>
            <family val="2"/>
          </rPr>
          <t xml:space="preserve"> hulp r</t>
        </r>
        <r>
          <rPr>
            <sz val="8"/>
            <color indexed="81"/>
            <rFont val="Tahoma"/>
            <family val="2"/>
          </rPr>
          <t xml:space="preserve">
</t>
        </r>
        <r>
          <rPr>
            <b/>
            <sz val="8"/>
            <color indexed="81"/>
            <rFont val="Tahoma"/>
            <family val="2"/>
          </rPr>
          <t xml:space="preserve">Formule </t>
        </r>
        <r>
          <rPr>
            <sz val="8"/>
            <color indexed="81"/>
            <rFont val="Tahoma"/>
            <family val="2"/>
          </rPr>
          <t xml:space="preserve">= 'hulp r'!B
</t>
        </r>
      </text>
    </comment>
    <comment ref="F1"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Brouw datum:</t>
        </r>
      </text>
    </comment>
    <comment ref="G1" authorId="0" shapeId="0">
      <text>
        <r>
          <rPr>
            <i/>
            <sz val="8"/>
            <color indexed="81"/>
            <rFont val="Comic Sans MS"/>
            <family val="4"/>
          </rPr>
          <t>De brouwer:</t>
        </r>
        <r>
          <rPr>
            <sz val="8"/>
            <color indexed="81"/>
            <rFont val="Comic Sans MS"/>
            <family val="4"/>
          </rPr>
          <t xml:space="preserve">
Vul hier de brouwdatum in</t>
        </r>
        <r>
          <rPr>
            <sz val="8"/>
            <color indexed="81"/>
            <rFont val="Tahoma"/>
            <family val="2"/>
          </rPr>
          <t xml:space="preserve">
</t>
        </r>
      </text>
    </comment>
    <comment ref="I1" authorId="1" shapeId="0">
      <text>
        <r>
          <rPr>
            <i/>
            <sz val="9"/>
            <color indexed="8"/>
            <rFont val="Comic Sans MS"/>
            <family val="4"/>
          </rPr>
          <t xml:space="preserve">De brouwer:
</t>
        </r>
        <r>
          <rPr>
            <b/>
            <sz val="9"/>
            <color indexed="8"/>
            <rFont val="Comic Sans MS"/>
            <family val="4"/>
          </rPr>
          <t>Tekst; 
R</t>
        </r>
        <r>
          <rPr>
            <sz val="9"/>
            <color indexed="8"/>
            <rFont val="Comic Sans MS"/>
            <family val="4"/>
          </rPr>
          <t>ecept / Logboek Nr</t>
        </r>
      </text>
    </comment>
    <comment ref="J1" authorId="1" shapeId="0">
      <text>
        <r>
          <rPr>
            <i/>
            <sz val="9"/>
            <color indexed="8"/>
            <rFont val="Comic Sans MS"/>
            <family val="4"/>
          </rPr>
          <t xml:space="preserve">De brouwer:
</t>
        </r>
        <r>
          <rPr>
            <sz val="9"/>
            <color indexed="8"/>
            <rFont val="Comic Sans MS"/>
            <family val="4"/>
          </rPr>
          <t xml:space="preserve">voer hier je zelf gekozen logboek nr of andere identificatie van je brouwsel in </t>
        </r>
      </text>
    </comment>
    <comment ref="O1"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Liters maischwater per kg mout
</t>
        </r>
      </text>
    </comment>
    <comment ref="A2"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type</t>
        </r>
      </text>
    </comment>
    <comment ref="C2" authorId="1" shapeId="0">
      <text>
        <r>
          <rPr>
            <i/>
            <sz val="9"/>
            <color indexed="8"/>
            <rFont val="Comic Sans MS"/>
            <family val="4"/>
          </rPr>
          <t xml:space="preserve">De brouwer:
</t>
        </r>
        <r>
          <rPr>
            <sz val="9"/>
            <color indexed="8"/>
            <rFont val="Comic Sans MS"/>
            <family val="4"/>
          </rPr>
          <t xml:space="preserve">vul hier de naam van het bier type (volgens de officiele aanduiding) in. Gebruik bv de </t>
        </r>
        <r>
          <rPr>
            <b/>
            <sz val="9"/>
            <color indexed="8"/>
            <rFont val="Comic Sans MS"/>
            <family val="4"/>
          </rPr>
          <t>Bier Typen Gids</t>
        </r>
      </text>
    </comment>
    <comment ref="D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Brouwer
</t>
        </r>
      </text>
    </comment>
    <comment ref="E2" authorId="1" shapeId="0">
      <text>
        <r>
          <rPr>
            <i/>
            <sz val="8"/>
            <color indexed="8"/>
            <rFont val="Tahoma"/>
            <family val="2"/>
          </rPr>
          <t xml:space="preserve">De brouwer:
</t>
        </r>
        <r>
          <rPr>
            <sz val="9"/>
            <color indexed="8"/>
            <rFont val="Comic Sans MS"/>
            <family val="4"/>
          </rPr>
          <t>Vul hier in je naam en de namen van je mede brouwers in</t>
        </r>
      </text>
    </comment>
    <comment ref="A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na lagering</t>
        </r>
      </text>
    </comment>
    <comment ref="D3" authorId="1" shapeId="0">
      <text>
        <r>
          <rPr>
            <i/>
            <sz val="9"/>
            <color indexed="8"/>
            <rFont val="Comic Sans MS"/>
            <family val="4"/>
          </rPr>
          <t xml:space="preserve">De brouwer:
</t>
        </r>
        <r>
          <rPr>
            <b/>
            <sz val="9"/>
            <color indexed="8"/>
            <rFont val="Comic Sans MS"/>
            <family val="4"/>
          </rPr>
          <t xml:space="preserve">Formule alcohol na lagering.
</t>
        </r>
        <r>
          <rPr>
            <sz val="9"/>
            <color indexed="8"/>
            <rFont val="Comic Sans MS"/>
            <family val="4"/>
          </rPr>
          <t>=(ALS(F24&lt;1015;"geen bier";ALS(G4&lt;1000;(F24-G6)*135,666/100000;ALS(G6&lt;990;(G4-G6)*135,666/100000;(G4-G6)*135,666/100000)*100)))</t>
        </r>
      </text>
    </comment>
    <comment ref="E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gebotteld</t>
        </r>
      </text>
    </comment>
    <comment ref="G3" authorId="1" shapeId="0">
      <text>
        <r>
          <rPr>
            <i/>
            <sz val="9"/>
            <color indexed="8"/>
            <rFont val="Comic Sans MS"/>
            <family val="4"/>
          </rPr>
          <t xml:space="preserve">De brouwer:
</t>
        </r>
        <r>
          <rPr>
            <b/>
            <sz val="9"/>
            <color indexed="8"/>
            <rFont val="Comic Sans MS"/>
            <family val="4"/>
          </rPr>
          <t>formule Vol% alc. gebotteld</t>
        </r>
        <r>
          <rPr>
            <sz val="9"/>
            <color indexed="8"/>
            <rFont val="Comic Sans MS"/>
            <family val="4"/>
          </rPr>
          <t xml:space="preserve">
=ALS(F24&lt;1015;"geen bier";(ALS(G7&lt;1;(D3+(8/17,33));(D3+(G7/17,33)))))</t>
        </r>
      </text>
    </comment>
    <comment ref="H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maischwater</t>
        </r>
      </text>
    </comment>
    <comment ref="J3"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=(SOM(A11:A18))*O3</t>
        </r>
      </text>
    </comment>
    <comment ref="O3" authorId="1" shapeId="0">
      <text>
        <r>
          <rPr>
            <i/>
            <sz val="9"/>
            <color indexed="8"/>
            <rFont val="Comic Sans MS"/>
            <family val="4"/>
          </rPr>
          <t xml:space="preserve">De brouwer:
</t>
        </r>
        <r>
          <rPr>
            <sz val="9"/>
            <color indexed="8"/>
            <rFont val="Comic Sans MS"/>
            <family val="4"/>
          </rPr>
          <t xml:space="preserve">vul hier je het gewenste aantal liters maischwater per kg mout  in.
Gebruikelijk is :
meer dan 6 % alcohol;   (dik beslag) 2,5 - 3,0 L/ kg
5-6%% alcohol: 3-4  L/Kg.
minder dan 5 % alcohol: (dun beslag) 4 tot 5  L/ kg
</t>
        </r>
      </text>
    </comment>
    <comment ref="A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Kleur EBC
(</t>
        </r>
        <r>
          <rPr>
            <b/>
            <sz val="9"/>
            <color indexed="8"/>
            <rFont val="Comic Sans MS"/>
            <family val="4"/>
          </rPr>
          <t>E</t>
        </r>
        <r>
          <rPr>
            <sz val="9"/>
            <color indexed="8"/>
            <rFont val="Comic Sans MS"/>
            <family val="4"/>
          </rPr>
          <t xml:space="preserve">uropean </t>
        </r>
        <r>
          <rPr>
            <b/>
            <sz val="9"/>
            <color indexed="8"/>
            <rFont val="Comic Sans MS"/>
            <family val="4"/>
          </rPr>
          <t>B</t>
        </r>
        <r>
          <rPr>
            <sz val="9"/>
            <color indexed="8"/>
            <rFont val="Comic Sans MS"/>
            <family val="4"/>
          </rPr>
          <t xml:space="preserve">rewers </t>
        </r>
        <r>
          <rPr>
            <b/>
            <sz val="9"/>
            <color indexed="8"/>
            <rFont val="Comic Sans MS"/>
            <family val="4"/>
          </rPr>
          <t>C</t>
        </r>
        <r>
          <rPr>
            <sz val="9"/>
            <color indexed="8"/>
            <rFont val="Comic Sans MS"/>
            <family val="4"/>
          </rPr>
          <t>onvention)</t>
        </r>
      </text>
    </comment>
    <comment ref="D4"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=G24
Wordt berekend adhv hoeveelheid en soorten mout </t>
        </r>
      </text>
    </comment>
    <comment ref="E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Berekend S.G. in gistvat</t>
        </r>
      </text>
    </comment>
    <comment ref="G4" authorId="2" shapeId="0">
      <text>
        <r>
          <rPr>
            <sz val="9"/>
            <color indexed="81"/>
            <rFont val="Tahoma"/>
            <family val="2"/>
          </rPr>
          <t xml:space="preserve">
formule;
=((SOM(F11:F21)))+1000
Door cel J8 ( Installatie rendement) na het brouwen aan te passen  kun je dit kloppend maken  met het werkelijk gemeten S.G.</t>
        </r>
      </text>
    </comment>
    <comment ref="H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spoelwater (ongeveer)</t>
        </r>
      </text>
    </comment>
    <comment ref="J4"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J5 + (K56 * SOM(A11:A18)) - J3 + (G8/60 * K57) + 0,01*A35
</t>
        </r>
      </text>
    </comment>
    <comment ref="A5" authorId="1" shapeId="0">
      <text>
        <r>
          <rPr>
            <i/>
            <sz val="9"/>
            <color indexed="8"/>
            <rFont val="Comic Sans MS"/>
            <family val="4"/>
          </rPr>
          <t xml:space="preserve">De brouwer:
</t>
        </r>
        <r>
          <rPr>
            <b/>
            <sz val="9"/>
            <color indexed="8"/>
            <rFont val="Comic Sans MS"/>
            <family val="4"/>
          </rPr>
          <t>Tekst</t>
        </r>
        <r>
          <rPr>
            <sz val="9"/>
            <color indexed="8"/>
            <rFont val="Comic Sans MS"/>
            <family val="4"/>
          </rPr>
          <t>; Kleur omschrijving</t>
        </r>
      </text>
    </comment>
    <comment ref="D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'=ALS(D4&lt;9;"Bleek";ALS(D4&lt;12;"Geel";ALS(D4&lt;20;"Goud";ALS(D4&lt;30;"Amber";ALS(D4&lt;45;"Koper";ALS(D4&lt;75;"Bruin";ALS(D4&lt;120;"Zeer donker doorschijnend";ALS(D4&gt;120;"zwart-niet door schijnend"))))))))
Wordt bepaald door vergelijking van de EBU warde met een tabel</t>
        </r>
      </text>
    </comment>
    <comment ref="E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bij 1e heveiling    S.G.</t>
        </r>
      </text>
    </comment>
    <comment ref="G5" authorId="1" shapeId="0">
      <text>
        <r>
          <rPr>
            <i/>
            <sz val="9"/>
            <color indexed="8"/>
            <rFont val="Comic Sans MS"/>
            <family val="4"/>
          </rPr>
          <t xml:space="preserve">De brouwer:
</t>
        </r>
        <r>
          <rPr>
            <sz val="9"/>
            <color indexed="8"/>
            <rFont val="Comic Sans MS"/>
            <family val="4"/>
          </rPr>
          <t>vul de gemeten waarde in zodat je dit Formulier  ook als logboek kunt naslaan</t>
        </r>
      </text>
    </comment>
    <comment ref="H5" authorId="1" shapeId="0">
      <text>
        <r>
          <rPr>
            <i/>
            <sz val="9"/>
            <color indexed="8"/>
            <rFont val="Comic Sans MS"/>
            <family val="4"/>
          </rPr>
          <t xml:space="preserve">De brouwer:
</t>
        </r>
        <r>
          <rPr>
            <b/>
            <sz val="9"/>
            <color indexed="8"/>
            <rFont val="Comic Sans MS"/>
            <family val="4"/>
          </rPr>
          <t>tekst</t>
        </r>
        <r>
          <rPr>
            <sz val="9"/>
            <color indexed="8"/>
            <rFont val="Comic Sans MS"/>
            <family val="4"/>
          </rPr>
          <t>;
Verwacht aantal liters  wort in gistvat ( bij start vergisting)
Deze cel is nodig voor berekenen van het brouwzaal rendement</t>
        </r>
      </text>
    </comment>
    <comment ref="J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=D8*1,08
</t>
        </r>
      </text>
    </comment>
    <comment ref="A6"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Totale bitterheid IBU
(</t>
        </r>
        <r>
          <rPr>
            <b/>
            <sz val="9"/>
            <color indexed="8"/>
            <rFont val="Comic Sans MS"/>
            <family val="4"/>
          </rPr>
          <t>I</t>
        </r>
        <r>
          <rPr>
            <sz val="9"/>
            <color indexed="8"/>
            <rFont val="Comic Sans MS"/>
            <family val="4"/>
          </rPr>
          <t xml:space="preserve">nternational </t>
        </r>
        <r>
          <rPr>
            <b/>
            <sz val="9"/>
            <color indexed="8"/>
            <rFont val="Comic Sans MS"/>
            <family val="4"/>
          </rPr>
          <t>B</t>
        </r>
        <r>
          <rPr>
            <sz val="9"/>
            <color indexed="8"/>
            <rFont val="Comic Sans MS"/>
            <family val="4"/>
          </rPr>
          <t xml:space="preserve">itterness </t>
        </r>
        <r>
          <rPr>
            <b/>
            <sz val="9"/>
            <color indexed="8"/>
            <rFont val="Comic Sans MS"/>
            <family val="4"/>
          </rPr>
          <t>U</t>
        </r>
        <r>
          <rPr>
            <sz val="9"/>
            <color indexed="8"/>
            <rFont val="Comic Sans MS"/>
            <family val="4"/>
          </rPr>
          <t>nit)</t>
        </r>
      </text>
    </comment>
    <comment ref="D6"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=F35
Wordt berekend adhv hophoeveelheid, kooktijd en % Alfazuur</t>
        </r>
      </text>
    </comment>
    <comment ref="E6" authorId="1" shapeId="0">
      <text>
        <r>
          <rPr>
            <i/>
            <sz val="9"/>
            <color indexed="8"/>
            <rFont val="Comic Sans MS"/>
            <family val="4"/>
          </rPr>
          <t xml:space="preserve">De brouwer:
</t>
        </r>
        <r>
          <rPr>
            <b/>
            <sz val="9"/>
            <color indexed="8"/>
            <rFont val="Comic Sans MS"/>
            <family val="4"/>
          </rPr>
          <t>tekst</t>
        </r>
        <r>
          <rPr>
            <sz val="9"/>
            <color indexed="8"/>
            <rFont val="Comic Sans MS"/>
            <family val="4"/>
          </rPr>
          <t>;
Max. (eind) S.G. bij bottelen
houdt rekening met brouwzaal rendement &amp; installatie rendement = waarde in G4: werkelijk bekomen S.G.</t>
        </r>
      </text>
    </comment>
    <comment ref="G6" authorId="1" shapeId="0">
      <text>
        <r>
          <rPr>
            <i/>
            <sz val="8"/>
            <color indexed="8"/>
            <rFont val="Tahoma"/>
            <family val="2"/>
          </rPr>
          <t xml:space="preserve">De brouwer:
</t>
        </r>
        <r>
          <rPr>
            <b/>
            <sz val="8"/>
            <color indexed="8"/>
            <rFont val="Tahoma"/>
            <family val="2"/>
          </rPr>
          <t xml:space="preserve">formule;
</t>
        </r>
        <r>
          <rPr>
            <sz val="8"/>
            <color indexed="8"/>
            <rFont val="Tahoma"/>
            <family val="2"/>
          </rPr>
          <t>=(G4-1000)*(1-J6)+1000</t>
        </r>
      </text>
    </comment>
    <comment ref="H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Schijnbare Vergisting</t>
        </r>
      </text>
    </comment>
    <comment ref="J6" authorId="1" shapeId="0">
      <text>
        <r>
          <rPr>
            <i/>
            <sz val="9"/>
            <color indexed="8"/>
            <rFont val="Comic Sans MS"/>
            <family val="4"/>
          </rPr>
          <t xml:space="preserve">De brouwer:
Standaard: </t>
        </r>
        <r>
          <rPr>
            <b/>
            <i/>
            <sz val="9"/>
            <color indexed="8"/>
            <rFont val="Comic Sans MS"/>
            <family val="4"/>
          </rPr>
          <t>77%</t>
        </r>
        <r>
          <rPr>
            <i/>
            <sz val="9"/>
            <color indexed="8"/>
            <rFont val="Comic Sans MS"/>
            <family val="4"/>
          </rPr>
          <t xml:space="preserve">  Dit is gemiddeld.
Pas deze waarde aan als het SG voor het bottelen  (cel G6) hoger of lager is. Waarde ligt  meestal tussen 72% en 82%
</t>
        </r>
      </text>
    </comment>
    <comment ref="O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hulp tabellen verhouding
</t>
        </r>
      </text>
    </comment>
    <comment ref="A7"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Bitterheid omschrijving</t>
        </r>
      </text>
    </comment>
    <comment ref="D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=ALS(D6&lt;20;"Weinig bitter";ALS(D6&lt;30;"Bitterig";ALS(D6&lt;40;"Bitter";ALS(D6&gt;40;"Zeer bitter"))))
Wordt bepaald door vergelijking van de IBU bitterheid met een tabel</t>
        </r>
      </text>
    </comment>
    <comment ref="E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Aantal g/l bottelsuiker
</t>
        </r>
      </text>
    </comment>
    <comment ref="G7" authorId="1" shapeId="0">
      <text>
        <r>
          <rPr>
            <i/>
            <sz val="9"/>
            <color indexed="8"/>
            <rFont val="Comic Sans MS"/>
            <family val="4"/>
          </rPr>
          <t xml:space="preserve">De brouwer:
</t>
        </r>
        <r>
          <rPr>
            <sz val="9"/>
            <color indexed="8"/>
            <rFont val="Comic Sans MS"/>
            <family val="4"/>
          </rPr>
          <t>vul hier in hoeveel gram bottelsuiker je wilt toevoegen per liter wort om het bier te bottelen.
Een goede beginwaarde is:
5 gr/ltr voor flesjes van  0.33 ltr
3-4 gr/ltr voor flessen van 0.75 ltr
2 gr/ltr voor vaatjes van 5-10 ltr</t>
        </r>
      </text>
    </comment>
    <comment ref="H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Brouwzaal rendement</t>
        </r>
      </text>
    </comment>
    <comment ref="J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=ALS(A24&lt;0,1;"GEEN BIER";ALS(D8&lt;1;"--------";ALS(G4&lt;1015;"--------";(F24-1000)/3,72*G4*D8/A24/100000)))</t>
        </r>
      </text>
    </comment>
    <comment ref="A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Gewenst aantal liters na vergisting
(Gewenst aantal liters in het gistvat na vergisting en dus bij het bottelen)</t>
        </r>
      </text>
    </comment>
    <comment ref="D8" authorId="1" shapeId="0">
      <text>
        <r>
          <rPr>
            <i/>
            <sz val="9"/>
            <color indexed="8"/>
            <rFont val="Comic Sans MS"/>
            <family val="4"/>
          </rPr>
          <t xml:space="preserve">De brouwer:
</t>
        </r>
        <r>
          <rPr>
            <sz val="9"/>
            <color indexed="8"/>
            <rFont val="Comic Sans MS"/>
            <family val="4"/>
          </rPr>
          <t xml:space="preserve">vul hier het aantal liters in dat je na de vergisting wilt hebben, dus bij het bottelen.
Gebruik je decimalen dan een </t>
        </r>
        <r>
          <rPr>
            <b/>
            <sz val="9"/>
            <color indexed="8"/>
            <rFont val="Comic Sans MS"/>
            <family val="4"/>
          </rPr>
          <t>komma</t>
        </r>
        <r>
          <rPr>
            <sz val="9"/>
            <color indexed="8"/>
            <rFont val="Comic Sans MS"/>
            <family val="4"/>
          </rPr>
          <t xml:space="preserve"> gebruiken als scheidings teken.</t>
        </r>
      </text>
    </comment>
    <comment ref="E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kooktijd in minuten
</t>
        </r>
        <r>
          <rPr>
            <sz val="9"/>
            <color indexed="8"/>
            <rFont val="Tahoma"/>
            <family val="2"/>
          </rPr>
          <t xml:space="preserve">
</t>
        </r>
      </text>
    </comment>
    <comment ref="G8" authorId="1" shapeId="0">
      <text>
        <r>
          <rPr>
            <i/>
            <sz val="9"/>
            <color indexed="8"/>
            <rFont val="Comic Sans MS"/>
            <family val="4"/>
          </rPr>
          <t xml:space="preserve">De brouwer:
</t>
        </r>
        <r>
          <rPr>
            <sz val="9"/>
            <color indexed="8"/>
            <rFont val="Comic Sans MS"/>
            <family val="4"/>
          </rPr>
          <t xml:space="preserve">vul hier je kooktijd </t>
        </r>
        <r>
          <rPr>
            <b/>
            <sz val="9"/>
            <color indexed="8"/>
            <rFont val="Comic Sans MS"/>
            <family val="4"/>
          </rPr>
          <t>in minuten</t>
        </r>
        <r>
          <rPr>
            <sz val="9"/>
            <color indexed="8"/>
            <rFont val="Comic Sans MS"/>
            <family val="4"/>
          </rPr>
          <t xml:space="preserve"> in.
De hopgift en tijden houden rekening met de totale kooktijd.</t>
        </r>
      </text>
    </comment>
    <comment ref="H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Installatie rendement</t>
        </r>
      </text>
    </comment>
    <comment ref="J8" authorId="1" shapeId="0">
      <text>
        <r>
          <rPr>
            <i/>
            <sz val="9"/>
            <color indexed="8"/>
            <rFont val="Comic Sans MS"/>
            <family val="4"/>
          </rPr>
          <t xml:space="preserve">De brouwer:
</t>
        </r>
        <r>
          <rPr>
            <sz val="9"/>
            <color indexed="8"/>
            <rFont val="Comic Sans MS"/>
            <family val="4"/>
          </rPr>
          <t xml:space="preserve">Standaard 75%:  Voer hier je eigen rendement in, veelal is dit tussen de 70% en de 80 % 
Dus:  </t>
        </r>
        <r>
          <rPr>
            <b/>
            <sz val="11"/>
            <color indexed="8"/>
            <rFont val="Comic Sans MS"/>
            <family val="4"/>
          </rPr>
          <t xml:space="preserve">pas deze waarde aan als het werkelijk verkregen S.G. in het gistvat afwijkt ( cel G4)
</t>
        </r>
        <r>
          <rPr>
            <sz val="9"/>
            <color indexed="8"/>
            <rFont val="Comic Sans MS"/>
            <family val="4"/>
          </rPr>
          <t>Alle waarden die hier mee te maken hebben worden dan automatisch aangepast.</t>
        </r>
      </text>
    </comment>
    <comment ref="O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basis recept
</t>
        </r>
      </text>
    </comment>
    <comment ref="P8" authorId="1" shapeId="0">
      <text>
        <r>
          <rPr>
            <i/>
            <sz val="9"/>
            <color indexed="8"/>
            <rFont val="Comic Sans MS"/>
            <family val="4"/>
          </rPr>
          <t xml:space="preserve">De brouwer:
</t>
        </r>
        <r>
          <rPr>
            <b/>
            <sz val="9"/>
            <color indexed="8"/>
            <rFont val="Comic Sans MS"/>
            <family val="4"/>
          </rPr>
          <t>tekst;
zet deze bv op 2 als je 2 x zoveel liters gaat maken.</t>
        </r>
        <r>
          <rPr>
            <sz val="9"/>
            <color indexed="8"/>
            <rFont val="Comic Sans MS"/>
            <family val="4"/>
          </rPr>
          <t xml:space="preserve">
</t>
        </r>
      </text>
    </comment>
    <comment ref="A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mout.</t>
        </r>
      </text>
    </comment>
    <comment ref="C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mout</t>
        </r>
      </text>
    </comment>
    <comment ref="D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Extract fact.
Betekent: maximaal op te lossen percentage suikers uit de mout.</t>
        </r>
      </text>
    </comment>
    <comment ref="E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moutsoort</t>
        </r>
      </text>
    </comment>
    <comment ref="G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moutsoort totaal</t>
        </r>
      </text>
    </comment>
    <comment ref="H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9" authorId="1" shapeId="0">
      <text>
        <r>
          <rPr>
            <i/>
            <sz val="9"/>
            <color indexed="8"/>
            <rFont val="Comic Sans MS"/>
            <family val="4"/>
          </rPr>
          <t xml:space="preserve">De brouwer:
</t>
        </r>
        <r>
          <rPr>
            <b/>
            <sz val="9"/>
            <color indexed="8"/>
            <rFont val="Comic Sans MS"/>
            <family val="4"/>
          </rPr>
          <t>tekst;
Vul hier per type mout de hoeveelheid mout in in Kg</t>
        </r>
        <r>
          <rPr>
            <sz val="9"/>
            <color indexed="8"/>
            <rFont val="Comic Sans MS"/>
            <family val="4"/>
          </rPr>
          <t xml:space="preserve">
</t>
        </r>
      </text>
    </comment>
    <comment ref="P9" authorId="1" shapeId="0">
      <text>
        <r>
          <rPr>
            <b/>
            <sz val="8"/>
            <color indexed="8"/>
            <rFont val="Comic Sans MS"/>
            <family val="4"/>
          </rPr>
          <t xml:space="preserve">
Met dit getal pas je de moutstorting voor alle mout aan.
De berekende waardes worden gebruikt in het blad.
Zet hier bv 1,5  neer als je 1,5 X zoveel mout wil storten. Dit doe je als je 1,5 X zoveel liters wil brouwen dan het basis-recpt. Dus bv 30 L, terwijl het basisrect voor 20L is.
Het aantal Liters in cel D8 moet dan zelf handmatig aanpassen van 20 naar 30L
</t>
        </r>
        <r>
          <rPr>
            <sz val="8"/>
            <color indexed="8"/>
            <rFont val="Tahoma"/>
            <family val="2"/>
          </rPr>
          <t xml:space="preserve">
</t>
        </r>
      </text>
    </comment>
    <comment ref="A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=P11
deze formule kijkt naar de hulptabel rechts op het scherm afgebeeld 
</t>
        </r>
      </text>
    </comment>
    <comment ref="B11" authorId="1" shapeId="0">
      <text>
        <r>
          <rPr>
            <i/>
            <sz val="9"/>
            <color indexed="8"/>
            <rFont val="Comic Sans MS"/>
            <family val="4"/>
          </rPr>
          <t xml:space="preserve">De brouwer:
</t>
        </r>
        <r>
          <rPr>
            <sz val="9"/>
            <color indexed="8"/>
            <rFont val="Comic Sans MS"/>
            <family val="4"/>
          </rPr>
          <t>voer hier het  record nr van de gewenste moutsoort in van het tabblad "mout".
Er verschijnt nu de naam van je moutsoort, de extract factor en de kleur factor.</t>
        </r>
      </text>
    </comment>
    <comment ref="C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=ZOEKEN(B11;Mout!A:A;Mout!B:B)
vult de naam van de gekozen mout in, kijkend naar het record nr in Tabblad "Mout"</t>
        </r>
      </text>
    </comment>
    <comment ref="D11"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=ZOEKEN(B11;Mout!A:A;Mout!C:C)
vult in de extract factor,  hieruit wordt het alcohol percentage berekend.</t>
        </r>
      </text>
    </comment>
    <comment ref="E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=ZOEKEN(B11;Mout!A:A;Mout!D:D)
kijken naar het record nr.,  vult in deze cel het aandeel van de kleur in. </t>
        </r>
      </text>
    </comment>
    <comment ref="F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=(D11*A11/$D$8)*$J$8*3,722
deze cel berekent het totaal SG van deze mout met record nr, 
met het gewicht en de extract factor</t>
        </r>
      </text>
    </comment>
    <comment ref="G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=(D11*A11/$J$5)*E11/8,6
deze cel berekent de totale kleurafgifte van de gekozen moutsoort</t>
        </r>
      </text>
    </comment>
    <comment ref="H1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11" authorId="1" shapeId="0">
      <text>
        <r>
          <rPr>
            <i/>
            <sz val="8"/>
            <color indexed="8"/>
            <rFont val="Comic Sans MS"/>
            <family val="4"/>
          </rPr>
          <t xml:space="preserve">De brouwer:
</t>
        </r>
        <r>
          <rPr>
            <sz val="8"/>
            <color indexed="8"/>
            <rFont val="Comic Sans MS"/>
            <family val="4"/>
          </rPr>
          <t>Vul i hier de hoeveelheid mout in in Kg</t>
        </r>
      </text>
    </comment>
    <comment ref="P11" authorId="1" shapeId="0">
      <text>
        <r>
          <rPr>
            <i/>
            <sz val="9"/>
            <color indexed="8"/>
            <rFont val="Comic Sans MS"/>
            <family val="4"/>
          </rPr>
          <t xml:space="preserve">
</t>
        </r>
        <r>
          <rPr>
            <b/>
            <sz val="9"/>
            <color indexed="8"/>
            <rFont val="Comic Sans MS"/>
            <family val="4"/>
          </rPr>
          <t xml:space="preserve">formule;
</t>
        </r>
        <r>
          <rPr>
            <sz val="9"/>
            <color indexed="8"/>
            <rFont val="Comic Sans MS"/>
            <family val="4"/>
          </rPr>
          <t xml:space="preserve">=$P$9*O11
</t>
        </r>
        <r>
          <rPr>
            <b/>
            <sz val="10"/>
            <color indexed="8"/>
            <rFont val="Comic Sans MS"/>
            <family val="4"/>
          </rPr>
          <t>Deze cel niet zelf beschrijven.</t>
        </r>
        <r>
          <rPr>
            <sz val="9"/>
            <color indexed="8"/>
            <rFont val="Comic Sans MS"/>
            <family val="4"/>
          </rPr>
          <t xml:space="preserve">
Dit is de berekende hoeveelheid mout na  vermenigvuldiging (standaard 1,0 X)
Deze waarde wordt automatisch overgebracht naar kolom A
</t>
        </r>
      </text>
    </comment>
    <comment ref="O12" authorId="2" shapeId="0">
      <text>
        <r>
          <rPr>
            <sz val="9"/>
            <color indexed="81"/>
            <rFont val="Tahoma"/>
            <family val="2"/>
          </rPr>
          <t xml:space="preserve">
Vul i hier de hoeveelheid mout in in Kg</t>
        </r>
      </text>
    </comment>
    <comment ref="P12" authorId="2" shapeId="0">
      <text>
        <r>
          <rPr>
            <b/>
            <sz val="9"/>
            <color indexed="81"/>
            <rFont val="Tahoma"/>
            <family val="2"/>
          </rPr>
          <t>Formule</t>
        </r>
        <r>
          <rPr>
            <sz val="9"/>
            <color indexed="81"/>
            <rFont val="Tahoma"/>
            <family val="2"/>
          </rPr>
          <t xml:space="preserve">:
=$P$9*O12
</t>
        </r>
        <r>
          <rPr>
            <b/>
            <sz val="9"/>
            <color indexed="81"/>
            <rFont val="Tahoma"/>
            <family val="2"/>
          </rPr>
          <t xml:space="preserve">
Deze cel niet zelf beschrijven.</t>
        </r>
        <r>
          <rPr>
            <sz val="9"/>
            <color indexed="81"/>
            <rFont val="Tahoma"/>
            <family val="2"/>
          </rPr>
          <t xml:space="preserve">
Dit is de berekende hoeveelheid mout na  vermenigvuldiging (standaard 1,0 X)
Deze waarde wordt automatisch overgebracht naar kolom A
</t>
        </r>
      </text>
    </comment>
    <comment ref="P13" authorId="2" shapeId="0">
      <text>
        <r>
          <rPr>
            <b/>
            <sz val="9"/>
            <color indexed="81"/>
            <rFont val="Tahoma"/>
            <family val="2"/>
          </rPr>
          <t xml:space="preserve">Formule:
</t>
        </r>
        <r>
          <rPr>
            <sz val="9"/>
            <color indexed="81"/>
            <rFont val="Tahoma"/>
            <family val="2"/>
          </rPr>
          <t xml:space="preserve">=+$P$9*O13
</t>
        </r>
        <r>
          <rPr>
            <b/>
            <sz val="9"/>
            <color indexed="81"/>
            <rFont val="Tahoma"/>
            <family val="2"/>
          </rPr>
          <t>Deze cel niet zelf beschrijven.</t>
        </r>
        <r>
          <rPr>
            <sz val="9"/>
            <color indexed="81"/>
            <rFont val="Tahoma"/>
            <family val="2"/>
          </rPr>
          <t xml:space="preserve">
Dit is de berekende hoeveelheid mout na  vermenigvuldiging (standaard 1,0 X)
Deze waarde wordt automatisch overgebracht naar kolom A</t>
        </r>
      </text>
    </comment>
    <comment ref="A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suiker</t>
        </r>
        <r>
          <rPr>
            <sz val="9"/>
            <color indexed="8"/>
            <rFont val="Comic Sans MS"/>
            <family val="4"/>
          </rPr>
          <t>.</t>
        </r>
      </text>
    </comment>
    <comment ref="C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suikers</t>
        </r>
      </text>
    </comment>
    <comment ref="D19" authorId="1" shapeId="0">
      <text>
        <r>
          <rPr>
            <i/>
            <sz val="9"/>
            <color indexed="8"/>
            <rFont val="Comic Sans MS"/>
            <family val="4"/>
          </rPr>
          <t xml:space="preserve">De brouwer:
</t>
        </r>
        <r>
          <rPr>
            <b/>
            <sz val="9"/>
            <color indexed="8"/>
            <rFont val="Comic Sans MS"/>
            <family val="4"/>
          </rPr>
          <t>tekst;
e</t>
        </r>
        <r>
          <rPr>
            <sz val="9"/>
            <color indexed="8"/>
            <rFont val="Comic Sans MS"/>
            <family val="4"/>
          </rPr>
          <t xml:space="preserve">xtract fact.
Betekent: maximaal op te lossen percentage van de suiker </t>
        </r>
      </text>
    </comment>
    <comment ref="E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suikersoort</t>
        </r>
      </text>
    </comment>
    <comment ref="G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suikersoort totaal</t>
        </r>
      </text>
    </comment>
    <comment ref="H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suikers %
</t>
        </r>
      </text>
    </comment>
    <comment ref="P19" authorId="1" shapeId="0">
      <text>
        <r>
          <rPr>
            <b/>
            <sz val="8"/>
            <color indexed="8"/>
            <rFont val="Comic Sans MS"/>
            <family val="4"/>
          </rPr>
          <t xml:space="preserve">
Met dit getal pas je de suikerhoeveelheid aan.
(niet de bottelsuiker)
De berekende waardes worden gebruikt in het blad.
Zet hier bv 1,5 neer als je 1,5X zoveel suiker wil  storen, bv als je het aantal liters ook 1,5X zo groot hebt gemaakt.
</t>
        </r>
        <r>
          <rPr>
            <sz val="8"/>
            <color indexed="8"/>
            <rFont val="Tahoma"/>
            <family val="2"/>
          </rPr>
          <t xml:space="preserve">
</t>
        </r>
      </text>
    </comment>
    <comment ref="A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=P20
deze formule kijkt naar de hulptabel rechts op het scherm afgebeeld 
</t>
        </r>
      </text>
    </comment>
    <comment ref="B20" authorId="1" shapeId="0">
      <text>
        <r>
          <rPr>
            <i/>
            <sz val="9"/>
            <color indexed="8"/>
            <rFont val="Comic Sans MS"/>
            <family val="4"/>
          </rPr>
          <t xml:space="preserve">De brouwer:
</t>
        </r>
        <r>
          <rPr>
            <b/>
            <sz val="9"/>
            <color indexed="8"/>
            <rFont val="Comic Sans MS"/>
            <family val="4"/>
          </rPr>
          <t>waarde</t>
        </r>
        <r>
          <rPr>
            <sz val="9"/>
            <color indexed="8"/>
            <rFont val="Comic Sans MS"/>
            <family val="4"/>
          </rPr>
          <t xml:space="preserve">;
vul hier het record nr van de gewenste suiker(s) uit het tabblad </t>
        </r>
        <r>
          <rPr>
            <b/>
            <sz val="9"/>
            <color indexed="8"/>
            <rFont val="Comic Sans MS"/>
            <family val="4"/>
          </rPr>
          <t>suiker</t>
        </r>
        <r>
          <rPr>
            <sz val="9"/>
            <color indexed="8"/>
            <rFont val="Comic Sans MS"/>
            <family val="4"/>
          </rPr>
          <t xml:space="preserve"> in</t>
        </r>
      </text>
    </comment>
    <comment ref="C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=ZOEKEN(B20;suiker!A:A;suiker!B:B)
vult de naam van de gekozen suiker in, kijkend naar het record nr in Tabblad "suiker"</t>
        </r>
      </text>
    </comment>
    <comment ref="D20"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=ZOEKEN(B20;suiker!A:A;suiker!C:C)
vult in de extract factor,  hieruit wordt het alcohol percentage berekend.</t>
        </r>
      </text>
    </comment>
    <comment ref="E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=ZOEKEN(B20;suiker!A:A;suiker!D:D)
kijken naar het record nr.,  vult in deze cel het aandeel van de kleur in. </t>
        </r>
      </text>
    </comment>
    <comment ref="F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=(D20*A20/$j$5)*3,722
deze cel berekent het totaal SG van deze suiker met record nr, 
met het gewicht en de extract factor</t>
        </r>
      </text>
    </comment>
    <comment ref="G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=(D20*A20/$J$5)*E20/8,6
deze cel berekent de totale kleurafgave van een soort suiker</t>
        </r>
      </text>
    </comment>
    <comment ref="H20"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20" authorId="1" shapeId="0">
      <text>
        <r>
          <rPr>
            <i/>
            <sz val="9"/>
            <color indexed="8"/>
            <rFont val="Comic Sans MS"/>
            <family val="4"/>
          </rPr>
          <t>De brouwer:
V</t>
        </r>
        <r>
          <rPr>
            <sz val="9"/>
            <color indexed="8"/>
            <rFont val="Comic Sans MS"/>
            <family val="4"/>
          </rPr>
          <t>ul i hier het geadviseerde percentage in voor  de gewenste suiker(s)
Daarna wijzig je cel P19  zodaning dat  de gewenste hoeveelheid suiker(s) in kolom P staat
Deze wordt automatisch overgebracht naar kolom A.</t>
        </r>
      </text>
    </comment>
    <comment ref="P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=$P$19*O20
Hier wordt per suiker de  gewenste hoeveelheid berekend 
Deze waarde wordt automatisch overgebracht naar kolom A
</t>
        </r>
      </text>
    </comment>
    <comment ref="A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=D8*G7/1000
Berekent de gewenste hoeveelheid bottelsuiker adhv het aantal grammen suiker/liter en het gewenste aantal liters te bottelen.
De waarde kan nog gewijzigd worden na de vergisting indien een afwijkende hoeveelheid te bottelen bier gebruikt wordt.</t>
        </r>
      </text>
    </comment>
    <comment ref="B22" authorId="1" shapeId="0">
      <text>
        <r>
          <rPr>
            <i/>
            <sz val="9"/>
            <color indexed="8"/>
            <rFont val="Comic Sans MS"/>
            <family val="4"/>
          </rPr>
          <t xml:space="preserve">De brouwer:
</t>
        </r>
        <r>
          <rPr>
            <sz val="9"/>
            <color indexed="8"/>
            <rFont val="Comic Sans MS"/>
            <family val="4"/>
          </rPr>
          <t>waarde;
vul hier het record nr in van de gewenste suiker voor het bottelen, die je gevonden hebt in het tabblad "suiker"</t>
        </r>
      </text>
    </comment>
    <comment ref="C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=ZOEKEN(B22;Suiker!A:A;Suiker!B:B)</t>
        </r>
      </text>
    </comment>
    <comment ref="D22" authorId="1" shapeId="0">
      <text>
        <r>
          <rPr>
            <i/>
            <sz val="9"/>
            <color indexed="8"/>
            <rFont val="Comic Sans MS"/>
            <family val="4"/>
          </rPr>
          <t xml:space="preserve">De brouwer:
</t>
        </r>
        <r>
          <rPr>
            <sz val="9"/>
            <color indexed="8"/>
            <rFont val="Comic Sans MS"/>
            <family val="4"/>
          </rPr>
          <t>formule;
=ZOEKEN(B22;Suiker!A:A;Suiker!C:C)</t>
        </r>
      </text>
    </comment>
    <comment ref="E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=ZOEKEN(B22;Suiker!A:A;Suiker!D:D)</t>
        </r>
      </text>
    </comment>
    <comment ref="F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=(D22*A22/$J$5)*3,722</t>
        </r>
      </text>
    </comment>
    <comment ref="G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=(D22*A22/$J$5)*E22/8,6</t>
        </r>
      </text>
    </comment>
    <comment ref="H22"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bottelsuiker</t>
        </r>
      </text>
    </comment>
    <comment ref="A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23" authorId="0" shapeId="0">
      <text>
        <r>
          <rPr>
            <i/>
            <sz val="8"/>
            <color indexed="81"/>
            <rFont val="Tahoma"/>
            <family val="2"/>
          </rPr>
          <t xml:space="preserve">De brouwer:
</t>
        </r>
        <r>
          <rPr>
            <b/>
            <sz val="8"/>
            <color indexed="81"/>
            <rFont val="Tahoma"/>
            <family val="2"/>
          </rPr>
          <t>tekst</t>
        </r>
        <r>
          <rPr>
            <sz val="8"/>
            <color indexed="81"/>
            <rFont val="Tahoma"/>
            <family val="2"/>
          </rPr>
          <t>: 
&lt;--totalen--&gt;</t>
        </r>
        <r>
          <rPr>
            <sz val="8"/>
            <color indexed="81"/>
            <rFont val="Tahoma"/>
            <family val="2"/>
          </rPr>
          <t xml:space="preserve">
</t>
        </r>
      </text>
    </comment>
    <comment ref="F23" authorId="1" shapeId="0">
      <text>
        <r>
          <rPr>
            <i/>
            <sz val="9"/>
            <color indexed="8"/>
            <rFont val="Comic Sans MS"/>
            <family val="4"/>
          </rPr>
          <t xml:space="preserve">De brouwer:
</t>
        </r>
        <r>
          <rPr>
            <b/>
            <sz val="9"/>
            <color indexed="8"/>
            <rFont val="Comic Sans MS"/>
            <family val="4"/>
          </rPr>
          <t>tekst;
S</t>
        </r>
        <r>
          <rPr>
            <sz val="9"/>
            <color indexed="8"/>
            <rFont val="Comic Sans MS"/>
            <family val="4"/>
          </rPr>
          <t xml:space="preserve">.G.
</t>
        </r>
      </text>
    </comment>
    <comment ref="G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EBC kleur.
</t>
        </r>
      </text>
    </comment>
    <comment ref="A24" authorId="0" shapeId="0">
      <text>
        <r>
          <rPr>
            <i/>
            <sz val="8"/>
            <color indexed="81"/>
            <rFont val="Tahoma"/>
            <family val="2"/>
          </rPr>
          <t>De brouwer:</t>
        </r>
        <r>
          <rPr>
            <sz val="8"/>
            <color indexed="81"/>
            <rFont val="Tahoma"/>
            <family val="2"/>
          </rPr>
          <t xml:space="preserve">
</t>
        </r>
        <r>
          <rPr>
            <b/>
            <sz val="8"/>
            <color indexed="81"/>
            <rFont val="Tahoma"/>
            <family val="2"/>
          </rPr>
          <t xml:space="preserve">formule: </t>
        </r>
        <r>
          <rPr>
            <sz val="8"/>
            <color indexed="81"/>
            <rFont val="Tahoma"/>
            <family val="2"/>
          </rPr>
          <t xml:space="preserve">=SOM(A11:A22)
Hier staat de totale hoeveelheid mout </t>
        </r>
      </text>
    </comment>
    <comment ref="F24" authorId="0" shapeId="0">
      <text>
        <r>
          <rPr>
            <i/>
            <sz val="8"/>
            <color indexed="81"/>
            <rFont val="Comic Sans MS"/>
            <family val="4"/>
          </rPr>
          <t>De brouwer:</t>
        </r>
        <r>
          <rPr>
            <sz val="8"/>
            <color indexed="81"/>
            <rFont val="Tahoma"/>
            <family val="2"/>
          </rPr>
          <t xml:space="preserve">
</t>
        </r>
        <r>
          <rPr>
            <sz val="8"/>
            <color indexed="81"/>
            <rFont val="Comic Sans MS"/>
            <family val="4"/>
          </rPr>
          <t>formule: =((SOM(F11:F22)))+1000
Hier staat de totale te bereiken S.G. waarde</t>
        </r>
      </text>
    </comment>
    <comment ref="G24" authorId="0" shapeId="0">
      <text>
        <r>
          <rPr>
            <i/>
            <sz val="8"/>
            <color indexed="81"/>
            <rFont val="Comic Sans MS"/>
            <family val="4"/>
          </rPr>
          <t>De brouwer:</t>
        </r>
        <r>
          <rPr>
            <sz val="8"/>
            <color indexed="81"/>
            <rFont val="Comic Sans MS"/>
            <family val="4"/>
          </rPr>
          <t xml:space="preserve">
formule: =ALS(F24&lt;1000,3;"0";SOM(G11:G22)+($F$8/30))
Hier staat de totale te bereiken EBC kleur waarde</t>
        </r>
      </text>
    </comment>
    <comment ref="A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hop</t>
        </r>
      </text>
    </comment>
    <comment ref="C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hop</t>
        </r>
      </text>
    </comment>
    <comment ref="D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 alfa zuur
</t>
        </r>
      </text>
    </comment>
    <comment ref="E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tijd hop mee koken in min
Betekent: vul hier de tijd </t>
        </r>
        <r>
          <rPr>
            <b/>
            <sz val="9"/>
            <color indexed="8"/>
            <rFont val="Comic Sans MS"/>
            <family val="4"/>
          </rPr>
          <t>in minuten</t>
        </r>
        <r>
          <rPr>
            <sz val="9"/>
            <color indexed="8"/>
            <rFont val="Comic Sans MS"/>
            <family val="4"/>
          </rPr>
          <t xml:space="preserve"> in die deze hop mee gekookt dient te worden</t>
        </r>
      </text>
    </comment>
    <comment ref="F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IBU aandeel
Geeft het totale IBU aandeel per hopgift</t>
        </r>
      </text>
    </comment>
    <comment ref="G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t>
        </r>
        <r>
          <rPr>
            <b/>
            <sz val="9"/>
            <color indexed="8"/>
            <rFont val="Comic Sans MS"/>
            <family val="4"/>
          </rPr>
          <t>B</t>
        </r>
        <r>
          <rPr>
            <sz val="9"/>
            <color indexed="8"/>
            <rFont val="Comic Sans MS"/>
            <family val="4"/>
          </rPr>
          <t>loem" of "</t>
        </r>
        <r>
          <rPr>
            <b/>
            <sz val="9"/>
            <color indexed="8"/>
            <rFont val="Comic Sans MS"/>
            <family val="4"/>
          </rPr>
          <t>P</t>
        </r>
        <r>
          <rPr>
            <sz val="9"/>
            <color indexed="8"/>
            <rFont val="Comic Sans MS"/>
            <family val="4"/>
          </rPr>
          <t>ellet"
 "Betekent: geef hier aan welke soort hop gedoseerd wordt (</t>
        </r>
        <r>
          <rPr>
            <b/>
            <sz val="9"/>
            <color indexed="8"/>
            <rFont val="Comic Sans MS"/>
            <family val="4"/>
          </rPr>
          <t>B</t>
        </r>
        <r>
          <rPr>
            <sz val="9"/>
            <color indexed="8"/>
            <rFont val="Comic Sans MS"/>
            <family val="4"/>
          </rPr>
          <t xml:space="preserve">loemen of </t>
        </r>
        <r>
          <rPr>
            <b/>
            <sz val="9"/>
            <color indexed="8"/>
            <rFont val="Comic Sans MS"/>
            <family val="4"/>
          </rPr>
          <t>P</t>
        </r>
        <r>
          <rPr>
            <sz val="9"/>
            <color indexed="8"/>
            <rFont val="Comic Sans MS"/>
            <family val="4"/>
          </rPr>
          <t>allets)</t>
        </r>
      </text>
    </comment>
    <comment ref="H2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opmerkingen
</t>
        </r>
        <r>
          <rPr>
            <sz val="8"/>
            <color indexed="8"/>
            <rFont val="Tahoma"/>
            <family val="2"/>
          </rPr>
          <t xml:space="preserve">
</t>
        </r>
      </text>
    </comment>
    <comment ref="O25" authorId="1" shapeId="0">
      <text>
        <r>
          <rPr>
            <sz val="9"/>
            <color indexed="8"/>
            <rFont val="Comic Sans MS"/>
            <family val="4"/>
          </rPr>
          <t xml:space="preserve">tekst;
Vul hier per type mout de hoeveelheid mout in in gr.
</t>
        </r>
      </text>
    </comment>
    <comment ref="P25" authorId="1" shapeId="0">
      <text>
        <r>
          <rPr>
            <b/>
            <sz val="8"/>
            <color indexed="8"/>
            <rFont val="Comic Sans MS"/>
            <family val="4"/>
          </rPr>
          <t xml:space="preserve">
Met dit getal pas je de hop-hoeveelheid voor alle hop aan.
De berekende waardes worden gebruikt in het blad.
Zet hier bv 1,5 neer als je 1,5X zoveel hop wil gebruiken, bv als je het aantal liters ook 1,5X zo groot hebt gemaakt.
</t>
        </r>
        <r>
          <rPr>
            <sz val="8"/>
            <color indexed="8"/>
            <rFont val="Tahoma"/>
            <family val="2"/>
          </rPr>
          <t xml:space="preserve">
</t>
        </r>
      </text>
    </comment>
    <comment ref="A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=P27
deze formule kijkt naar de hulptabel rechts op het scherm afgebeeld </t>
        </r>
      </text>
    </comment>
    <comment ref="B27" authorId="0" shapeId="0">
      <text>
        <r>
          <rPr>
            <i/>
            <sz val="8"/>
            <color indexed="81"/>
            <rFont val="Tahoma"/>
            <family val="2"/>
          </rPr>
          <t>De brouwer:</t>
        </r>
        <r>
          <rPr>
            <sz val="8"/>
            <color indexed="81"/>
            <rFont val="Tahoma"/>
            <family val="2"/>
          </rPr>
          <t xml:space="preserve">
voer hier het  record nr van de gewenste hopsoort in van het tabblad "hop".
Er verschijnt nu de naam van je hopsoort en het bijbehorende alfa-zuur percentage</t>
        </r>
      </text>
    </comment>
    <comment ref="C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=ZOEKEN(B27;hop!A:A;hop!B:B)
vult de naam van de gekozen hopsoort in, kijkend naar het record nr in Tabblad "hop"</t>
        </r>
      </text>
    </comment>
    <comment ref="D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=ZOEKEN(B27;hop!A:A;hop!G:G)
vult in het alfa-zuur percentage,  hieruit wordt het IBU aandeel berekend</t>
        </r>
      </text>
    </comment>
    <comment ref="E27" authorId="1" shapeId="0">
      <text>
        <r>
          <rPr>
            <i/>
            <sz val="9"/>
            <color indexed="8"/>
            <rFont val="Comic Sans MS"/>
            <family val="4"/>
          </rPr>
          <t xml:space="preserve">De brouwer:
</t>
        </r>
        <r>
          <rPr>
            <sz val="9"/>
            <color indexed="8"/>
            <rFont val="Comic Sans MS"/>
            <family val="4"/>
          </rPr>
          <t xml:space="preserve">
vul hier de gewenste tijd in minuten in dat de betreffende hop gekookt wordt (de tijd dus vanaf dosering tot eind koken)
Let op: geef in een leeg veld een </t>
        </r>
        <r>
          <rPr>
            <b/>
            <sz val="9"/>
            <color indexed="8"/>
            <rFont val="Comic Sans MS"/>
            <family val="4"/>
          </rPr>
          <t>NUL</t>
        </r>
        <r>
          <rPr>
            <sz val="9"/>
            <color indexed="8"/>
            <rFont val="Comic Sans MS"/>
            <family val="4"/>
          </rPr>
          <t xml:space="preserve"> in</t>
        </r>
      </text>
    </comment>
    <comment ref="F2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=ALS(G27=tabellen!$I$1;tabellen!I10;ALS(G27=tabellen!$I$2;tabellen!I10*1,1;tabellen!$I$3))
deze cel berekent de totale  hop bitterheid (in IBU) van dit record nr, 
met het gewicht, de kooktijd en het % alfa zuur</t>
        </r>
      </text>
    </comment>
    <comment ref="G27" authorId="1" shapeId="0">
      <text>
        <r>
          <rPr>
            <i/>
            <sz val="9"/>
            <color indexed="8"/>
            <rFont val="Comic Sans MS"/>
            <family val="4"/>
          </rPr>
          <t xml:space="preserve">De brouwer:
</t>
        </r>
        <r>
          <rPr>
            <sz val="9"/>
            <color indexed="8"/>
            <rFont val="Comic Sans MS"/>
            <family val="4"/>
          </rPr>
          <t xml:space="preserve">
geef hier aan of het hopbloemen (</t>
        </r>
        <r>
          <rPr>
            <b/>
            <sz val="9"/>
            <color indexed="8"/>
            <rFont val="Comic Sans MS"/>
            <family val="4"/>
          </rPr>
          <t>B</t>
        </r>
        <r>
          <rPr>
            <sz val="9"/>
            <color indexed="8"/>
            <rFont val="Comic Sans MS"/>
            <family val="4"/>
          </rPr>
          <t>) of pallets (</t>
        </r>
        <r>
          <rPr>
            <b/>
            <sz val="9"/>
            <color indexed="8"/>
            <rFont val="Comic Sans MS"/>
            <family val="4"/>
          </rPr>
          <t>P</t>
        </r>
        <r>
          <rPr>
            <sz val="9"/>
            <color indexed="8"/>
            <rFont val="Comic Sans MS"/>
            <family val="4"/>
          </rPr>
          <t>) zijn die gebruikt worden</t>
        </r>
      </text>
    </comment>
    <comment ref="H27" authorId="2" shapeId="0">
      <text>
        <r>
          <rPr>
            <sz val="9"/>
            <color indexed="81"/>
            <rFont val="Tahoma"/>
            <family val="2"/>
          </rPr>
          <t>De brouwer:
vrij te gebruiken voor aanvullende info voor je LOGBOEK.</t>
        </r>
      </text>
    </comment>
    <comment ref="P27" authorId="1" shapeId="0">
      <text>
        <r>
          <rPr>
            <b/>
            <sz val="9"/>
            <color indexed="8"/>
            <rFont val="Comic Sans MS"/>
            <family val="4"/>
          </rPr>
          <t xml:space="preserve">formule;
</t>
        </r>
        <r>
          <rPr>
            <sz val="9"/>
            <color indexed="8"/>
            <rFont val="Comic Sans MS"/>
            <family val="4"/>
          </rPr>
          <t xml:space="preserve">=$P$25*O27
</t>
        </r>
        <r>
          <rPr>
            <b/>
            <sz val="9"/>
            <color indexed="8"/>
            <rFont val="Comic Sans MS"/>
            <family val="4"/>
          </rPr>
          <t>Schrijf niet in deze cel.</t>
        </r>
        <r>
          <rPr>
            <sz val="9"/>
            <color indexed="8"/>
            <rFont val="Comic Sans MS"/>
            <family val="4"/>
          </rPr>
          <t xml:space="preserve">
Hier wordt per hopgift de  hoeveelheid berekend met de vermenigvuldigindfactor (standaard 1,0 X)
Deze waarde wordt automatisch overgebracht naar kolom A
</t>
        </r>
      </text>
    </comment>
    <comment ref="A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=SOM(A27:A34)
geeft de totale hop storting weer.</t>
        </r>
      </text>
    </comment>
    <comment ref="B3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&lt;-- totale hop gewicht
</t>
        </r>
      </text>
    </comment>
    <comment ref="D3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totale hop bitterheid ---&gt;</t>
        </r>
      </text>
    </comment>
    <comment ref="F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=SOM(F27:F34)
geeft de totale hop bitterheid weer, kijkend naar het aantal liters wort.</t>
        </r>
      </text>
    </comment>
    <comment ref="A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gist</t>
        </r>
      </text>
    </comment>
    <comment ref="D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F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maisch schema grafisch
Hieronder wordt het verloop van het maisch proces grafisch weergegeven
</t>
        </r>
      </text>
    </comment>
    <comment ref="A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kruiden / additieven</t>
        </r>
      </text>
    </comment>
    <comment ref="D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A41"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vul hier de gewenste hoeveelheid kruiden/additieven in grammen in.</t>
        </r>
      </text>
    </comment>
    <comment ref="B41" authorId="0" shapeId="0">
      <text>
        <r>
          <rPr>
            <i/>
            <sz val="8"/>
            <color indexed="81"/>
            <rFont val="Tahoma"/>
            <family val="2"/>
          </rPr>
          <t>De brouwer:</t>
        </r>
        <r>
          <rPr>
            <sz val="8"/>
            <color indexed="81"/>
            <rFont val="Tahoma"/>
            <family val="2"/>
          </rPr>
          <t xml:space="preserve">
voer hier het  record nr van de gewenste soort kruiden/additieven in van het tabblad "kruiden".
Er verschijnt nu de naam van je gewenste kruiden/additieven soort </t>
        </r>
      </text>
    </comment>
    <comment ref="C4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=ZOEKEN(B41;kruiden!A:A;kruiden!B:B)</t>
        </r>
      </text>
    </comment>
    <comment ref="D4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A44"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Water aangepast met</t>
        </r>
      </text>
    </comment>
    <comment ref="D44" authorId="3" shapeId="0">
      <text>
        <r>
          <rPr>
            <i/>
            <sz val="9"/>
            <color indexed="81"/>
            <rFont val="Comic Sans MS"/>
            <family val="4"/>
          </rPr>
          <t>De brouwer:</t>
        </r>
        <r>
          <rPr>
            <sz val="9"/>
            <color indexed="81"/>
            <rFont val="Comic Sans MS"/>
            <family val="4"/>
          </rPr>
          <t xml:space="preserve">
Noteer hier waarmee  het water is aangepast
Bijv.</t>
        </r>
        <r>
          <rPr>
            <i/>
            <sz val="9"/>
            <color indexed="81"/>
            <rFont val="Comic Sans MS"/>
            <family val="4"/>
          </rPr>
          <t xml:space="preserve"> 5 ml Melkzuur</t>
        </r>
        <r>
          <rPr>
            <sz val="9"/>
            <color indexed="81"/>
            <rFont val="Comic Sans MS"/>
            <family val="4"/>
          </rPr>
          <t xml:space="preserve"> of </t>
        </r>
        <r>
          <rPr>
            <i/>
            <sz val="9"/>
            <color indexed="81"/>
            <rFont val="Comic Sans MS"/>
            <family val="4"/>
          </rPr>
          <t>3 ml Fosforzuur</t>
        </r>
      </text>
    </comment>
    <comment ref="A45"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Voorloop / filtertijd in min.</t>
        </r>
      </text>
    </comment>
    <comment ref="A46"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Hoofdgisting gestart op</t>
        </r>
      </text>
    </comment>
    <comment ref="D46"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A47"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hoofdgisting in °C</t>
        </r>
      </text>
    </comment>
    <comment ref="D47"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
vul in;
</t>
        </r>
        <r>
          <rPr>
            <sz val="9"/>
            <color indexed="81"/>
            <rFont val="Comic Sans MS"/>
            <family val="4"/>
          </rPr>
          <t>noteer hier de temperatuur tijdens de hoofdgisting
aangepaste cel eigenschap: @ "°C"</t>
        </r>
      </text>
    </comment>
    <comment ref="A48"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hevelen na hoofdgisting / S.G.</t>
        </r>
      </text>
    </comment>
    <comment ref="D48"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E48"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na de hoofdgisting</t>
        </r>
      </text>
    </comment>
    <comment ref="A49"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in lagering zetten / S.G.</t>
        </r>
      </text>
    </comment>
    <comment ref="D49"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wanneer het brouwsel voor lagering wordt koel gezet</t>
        </r>
        <r>
          <rPr>
            <b/>
            <sz val="9"/>
            <color indexed="81"/>
            <rFont val="Comic Sans MS"/>
            <family val="4"/>
          </rPr>
          <t xml:space="preserve">
</t>
        </r>
      </text>
    </comment>
    <comment ref="E49"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aan het begin van de koude lagering</t>
        </r>
      </text>
    </comment>
    <comment ref="A50"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lagering in °C</t>
        </r>
      </text>
    </comment>
    <comment ref="D50" authorId="3" shapeId="0">
      <text>
        <r>
          <rPr>
            <i/>
            <sz val="9"/>
            <color indexed="81"/>
            <rFont val="Comic Sans MS"/>
            <family val="4"/>
          </rPr>
          <t>De brouwer:</t>
        </r>
        <r>
          <rPr>
            <sz val="9"/>
            <color indexed="81"/>
            <rFont val="Comic Sans MS"/>
            <family val="4"/>
          </rPr>
          <t xml:space="preserve">
noteer hier de  temperatuur in °C tijdens de lagering
</t>
        </r>
        <r>
          <rPr>
            <b/>
            <sz val="9"/>
            <color indexed="81"/>
            <rFont val="Comic Sans MS"/>
            <family val="4"/>
          </rPr>
          <t>tekst;</t>
        </r>
        <r>
          <rPr>
            <sz val="9"/>
            <color indexed="81"/>
            <rFont val="Comic Sans MS"/>
            <family val="4"/>
          </rPr>
          <t xml:space="preserve">
aangepaste cel eigenschap: @ "°C"
</t>
        </r>
      </text>
    </comment>
    <comment ref="A51"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bottelen</t>
        </r>
      </text>
    </comment>
    <comment ref="D51"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 xml:space="preserve">noteer de datum wanneer het bier gebotteld wordt
</t>
        </r>
        <r>
          <rPr>
            <b/>
            <sz val="9"/>
            <color indexed="81"/>
            <rFont val="Comic Sans MS"/>
            <family val="4"/>
          </rPr>
          <t xml:space="preserve">
</t>
        </r>
      </text>
    </comment>
    <comment ref="A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Temperatuur in °C
</t>
        </r>
      </text>
    </comment>
    <comment ref="D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E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F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G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H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I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Spoelen
</t>
        </r>
      </text>
    </comment>
    <comment ref="J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100
</t>
        </r>
      </text>
    </comment>
    <comment ref="K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t>
        </r>
      </text>
    </comment>
    <comment ref="A53"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Tijd in minuten
</t>
        </r>
      </text>
    </comment>
    <comment ref="I53" authorId="0" shapeId="0">
      <text>
        <r>
          <rPr>
            <i/>
            <sz val="8"/>
            <color indexed="81"/>
            <rFont val="Tahoma"/>
            <family val="2"/>
          </rPr>
          <t>De brouwer:</t>
        </r>
        <r>
          <rPr>
            <b/>
            <sz val="8"/>
            <color indexed="81"/>
            <rFont val="Tahoma"/>
            <family val="2"/>
          </rPr>
          <t xml:space="preserve">
Formule:
</t>
        </r>
        <r>
          <rPr>
            <sz val="8"/>
            <color indexed="81"/>
            <rFont val="Tahoma"/>
            <family val="2"/>
          </rPr>
          <t>=Som(D45:E45)</t>
        </r>
        <r>
          <rPr>
            <sz val="8"/>
            <color indexed="81"/>
            <rFont val="Tahoma"/>
            <family val="2"/>
          </rPr>
          <t xml:space="preserve">
</t>
        </r>
      </text>
    </comment>
    <comment ref="J53" authorId="1" shapeId="0">
      <text>
        <r>
          <rPr>
            <i/>
            <sz val="8"/>
            <color indexed="8"/>
            <rFont val="Comic Sans MS"/>
            <family val="4"/>
          </rPr>
          <t xml:space="preserve">De brouwer:
</t>
        </r>
        <r>
          <rPr>
            <b/>
            <sz val="8"/>
            <color indexed="8"/>
            <rFont val="Comic Sans MS"/>
            <family val="4"/>
          </rPr>
          <t xml:space="preserve">formule;
</t>
        </r>
        <r>
          <rPr>
            <sz val="8"/>
            <color indexed="8"/>
            <rFont val="Comic Sans MS"/>
            <family val="4"/>
          </rPr>
          <t xml:space="preserve">G8
de gewenste kooktijd wordt overgenomen uit cel G8
</t>
        </r>
      </text>
    </comment>
    <comment ref="K53" authorId="1" shapeId="0">
      <text>
        <r>
          <rPr>
            <i/>
            <sz val="8"/>
            <color indexed="8"/>
            <rFont val="Comic Sans MS"/>
            <family val="4"/>
          </rPr>
          <t xml:space="preserve">De brouwer:
</t>
        </r>
        <r>
          <rPr>
            <b/>
            <sz val="8"/>
            <color indexed="8"/>
            <rFont val="Comic Sans MS"/>
            <family val="4"/>
          </rPr>
          <t>formule:</t>
        </r>
        <r>
          <rPr>
            <sz val="8"/>
            <color indexed="8"/>
            <rFont val="Comic Sans MS"/>
            <family val="4"/>
          </rPr>
          <t xml:space="preserve">
=tabellen!B18
De benodigde koeltijd wordt overgenomen van tabblad </t>
        </r>
        <r>
          <rPr>
            <b/>
            <sz val="8"/>
            <color indexed="8"/>
            <rFont val="Comic Sans MS"/>
            <family val="4"/>
          </rPr>
          <t>tabellen</t>
        </r>
        <r>
          <rPr>
            <sz val="8"/>
            <color indexed="8"/>
            <rFont val="Comic Sans MS"/>
            <family val="4"/>
          </rPr>
          <t>, rekening houdende met de  in G58 aangegeven koelsnelheid</t>
        </r>
      </text>
    </comment>
    <comment ref="A54"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pH
</t>
        </r>
      </text>
    </comment>
    <comment ref="D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E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F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G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H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I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J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K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A5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Brix o(of °Pt) of SG aan eind vd stap
</t>
        </r>
      </text>
    </comment>
    <comment ref="D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E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F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G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H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I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J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K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A56"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Noteer hier het aantal gebottelde flessen van 0,3 ltr</t>
        </r>
      </text>
    </comment>
    <comment ref="B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0,3 ltr =
</t>
        </r>
      </text>
    </comment>
    <comment ref="D56"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=A57*0,3
De hoeveelheid afgevuld in 0,33 ltr flessen wordt berekend</t>
        </r>
      </text>
    </comment>
    <comment ref="E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Totale hoeveelheid bier
</t>
        </r>
      </text>
    </comment>
    <comment ref="F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Verwarmen
</t>
        </r>
      </text>
    </comment>
    <comment ref="H56" authorId="1" shapeId="0">
      <text>
        <r>
          <rPr>
            <i/>
            <sz val="8"/>
            <color indexed="8"/>
            <rFont val="Comic Sans MS"/>
            <family val="4"/>
          </rPr>
          <t xml:space="preserve">De brouwer:
</t>
        </r>
        <r>
          <rPr>
            <sz val="8"/>
            <color indexed="8"/>
            <rFont val="Comic Sans MS"/>
            <family val="4"/>
          </rPr>
          <t xml:space="preserve">Vul hier de opwarm snelheid in °C per min.  in.
</t>
        </r>
        <r>
          <rPr>
            <sz val="8"/>
            <color indexed="8"/>
            <rFont val="Tahoma"/>
            <family val="2"/>
          </rPr>
          <t xml:space="preserve">
Deze waarde wordt proefondervindelijk vastgesteld gedurende enkele brouwsels, maar zal niet hoger zijn dan ca. 1,0 °C/min
</t>
        </r>
        <r>
          <rPr>
            <b/>
            <sz val="8"/>
            <color indexed="8"/>
            <rFont val="Tahoma"/>
            <family val="2"/>
          </rPr>
          <t xml:space="preserve">
Celopmaak</t>
        </r>
        <r>
          <rPr>
            <sz val="8"/>
            <color indexed="8"/>
            <rFont val="Tahoma"/>
            <family val="2"/>
          </rPr>
          <t>; aangepast,type 0,# "°C/min"</t>
        </r>
      </text>
    </comment>
    <comment ref="I56" authorId="0" shapeId="0">
      <text>
        <r>
          <rPr>
            <i/>
            <sz val="8"/>
            <color indexed="81"/>
            <rFont val="Tahoma"/>
            <family val="2"/>
          </rPr>
          <t>De Brouwer:</t>
        </r>
        <r>
          <rPr>
            <sz val="8"/>
            <color indexed="81"/>
            <rFont val="Tahoma"/>
            <family val="2"/>
          </rPr>
          <t xml:space="preserve">
Tekst
Opname wort in ltr/kg mout
</t>
        </r>
      </text>
    </comment>
    <comment ref="K56" authorId="0" shapeId="0">
      <text>
        <r>
          <rPr>
            <i/>
            <sz val="8"/>
            <color indexed="81"/>
            <rFont val="Tahoma"/>
            <family val="2"/>
          </rPr>
          <t>De brouwer:</t>
        </r>
        <r>
          <rPr>
            <sz val="8"/>
            <color indexed="81"/>
            <rFont val="Tahoma"/>
            <family val="2"/>
          </rPr>
          <t xml:space="preserve">
Vul hier het aantal liters wort in dat achterblijft in de mout na het filteren,
</t>
        </r>
        <r>
          <rPr>
            <i/>
            <sz val="8"/>
            <color indexed="81"/>
            <rFont val="Tahoma"/>
            <family val="2"/>
          </rPr>
          <t xml:space="preserve">Deze waarde kan vastgesteld worden door de bostel na het filteren te wegen en hiervan het gewicht aan mout af te trekken en dan te delen door het aantal kg mout.
Dus: </t>
        </r>
        <r>
          <rPr>
            <b/>
            <i/>
            <sz val="8"/>
            <color indexed="81"/>
            <rFont val="Tahoma"/>
            <family val="2"/>
          </rPr>
          <t>(kg bostel - kg mout) / kg mout = K56</t>
        </r>
      </text>
    </comment>
    <comment ref="A57"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gebottelde flessen van 0,75 ltr</t>
        </r>
      </text>
    </comment>
    <comment ref="B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0,75 ltr =
</t>
        </r>
      </text>
    </comment>
    <comment ref="D57"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=A57*0,75
De hoeveelheid afgevuld in 0,75 ltr flessen wordt berekend</t>
        </r>
      </text>
    </comment>
    <comment ref="F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Afkoeling tijdens spoelen
</t>
        </r>
      </text>
    </comment>
    <comment ref="H57" authorId="1" shapeId="0">
      <text>
        <r>
          <rPr>
            <i/>
            <sz val="9"/>
            <color indexed="8"/>
            <rFont val="Comic Sans MS"/>
            <family val="4"/>
          </rPr>
          <t xml:space="preserve">De brouwer:
</t>
        </r>
        <r>
          <rPr>
            <sz val="9"/>
            <color indexed="8"/>
            <rFont val="Comic Sans MS"/>
            <family val="4"/>
          </rPr>
          <t xml:space="preserve">Vul hier de afkoel snelheid in °C / min.  in tijdens het spoelen
</t>
        </r>
        <r>
          <rPr>
            <sz val="9"/>
            <color indexed="8"/>
            <rFont val="Tahoma"/>
            <family val="2"/>
          </rPr>
          <t xml:space="preserve">
Deze waarde wordt proefondervindelijk vastgesteld gedurende enkele brouwsels
Om te beginnen is 0,2 °C / min een goede waarde.
Indien nodig na elk brouwsel aanpassen
</t>
        </r>
        <r>
          <rPr>
            <b/>
            <sz val="9"/>
            <color indexed="8"/>
            <rFont val="Tahoma"/>
            <family val="2"/>
          </rPr>
          <t>Celopmaak</t>
        </r>
        <r>
          <rPr>
            <sz val="9"/>
            <color indexed="8"/>
            <rFont val="Tahoma"/>
            <family val="2"/>
          </rPr>
          <t>; aangepast,type 0,# "°C/min"</t>
        </r>
      </text>
    </comment>
    <comment ref="I57" authorId="0" shapeId="0">
      <text>
        <r>
          <rPr>
            <i/>
            <sz val="8"/>
            <color indexed="81"/>
            <rFont val="Tahoma"/>
            <family val="2"/>
          </rPr>
          <t xml:space="preserve">De brouwer:
</t>
        </r>
        <r>
          <rPr>
            <b/>
            <sz val="8"/>
            <color indexed="81"/>
            <rFont val="Tahoma"/>
            <family val="2"/>
          </rPr>
          <t>Tekst:</t>
        </r>
        <r>
          <rPr>
            <i/>
            <sz val="8"/>
            <color indexed="81"/>
            <rFont val="Tahoma"/>
            <family val="2"/>
          </rPr>
          <t xml:space="preserve">
</t>
        </r>
        <r>
          <rPr>
            <sz val="8"/>
            <color indexed="81"/>
            <rFont val="Tahoma"/>
            <family val="2"/>
          </rPr>
          <t xml:space="preserve">Inkoken in ltr/uur
</t>
        </r>
      </text>
    </comment>
    <comment ref="K57" authorId="1" shapeId="0">
      <text>
        <r>
          <rPr>
            <sz val="8"/>
            <color indexed="8"/>
            <rFont val="Comic Sans MS"/>
            <family val="4"/>
          </rPr>
          <t xml:space="preserve">Vul hier de verdamping in die bij eerdere brouwsels is vastgesteld. Om te beginnen is  3 ltr/uur een goede waarde.
</t>
        </r>
        <r>
          <rPr>
            <i/>
            <sz val="8"/>
            <color indexed="8"/>
            <rFont val="Comic Sans MS"/>
            <family val="4"/>
          </rPr>
          <t xml:space="preserve">Deze waarde kan bepaald worden door het volume wort in het kookvat bij  begin koken (H1) en na  (H2) het koken te bepalen. Meet hiertoe de hoogte van het vloeistof oppervlak tot de bovenrand (Hierdoor voorkom je verontreiniging van de wort). 
Vermenigvuldig het verschil in hoogte met het keteloppervlak en reken dit terug naar 60 minuten. Let op: alle maten in decimeters, zo kom je direct op liters.
</t>
        </r>
        <r>
          <rPr>
            <sz val="8"/>
            <color indexed="8"/>
            <rFont val="Comic Sans MS"/>
            <family val="4"/>
          </rPr>
          <t xml:space="preserve">Dus: </t>
        </r>
        <r>
          <rPr>
            <b/>
            <sz val="8"/>
            <color indexed="8"/>
            <rFont val="Comic Sans MS"/>
            <family val="4"/>
          </rPr>
          <t>0,25 x 3,14 x D</t>
        </r>
        <r>
          <rPr>
            <b/>
            <vertAlign val="superscript"/>
            <sz val="8"/>
            <color indexed="8"/>
            <rFont val="Comic Sans MS"/>
            <family val="4"/>
          </rPr>
          <t xml:space="preserve">2 </t>
        </r>
        <r>
          <rPr>
            <b/>
            <sz val="8"/>
            <color indexed="8"/>
            <rFont val="Comic Sans MS"/>
            <family val="4"/>
          </rPr>
          <t>x (H2-H1)* x (60/G8) = K57</t>
        </r>
      </text>
    </comment>
    <comment ref="A58"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gevulde vaten van 10 ltr</t>
        </r>
      </text>
    </comment>
    <comment ref="B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vaten van 10 ltr =
</t>
        </r>
      </text>
    </comment>
    <comment ref="D58"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=A57*10
De hoeveelheid afgevuld in 10 ltr vaatjes wordt berekend</t>
        </r>
      </text>
    </comment>
    <comment ref="E58" authorId="1" shapeId="0">
      <text>
        <r>
          <rPr>
            <i/>
            <sz val="8"/>
            <color indexed="8"/>
            <rFont val="Comic Sans MS"/>
            <family val="4"/>
          </rPr>
          <t xml:space="preserve">De brouwer:
</t>
        </r>
        <r>
          <rPr>
            <sz val="8"/>
            <color indexed="8"/>
            <rFont val="Comic Sans MS"/>
            <family val="4"/>
          </rPr>
          <t>totale hoeveel afgevuld bier</t>
        </r>
        <r>
          <rPr>
            <i/>
            <sz val="8"/>
            <color indexed="8"/>
            <rFont val="Comic Sans MS"/>
            <family val="4"/>
          </rPr>
          <t xml:space="preserve">
</t>
        </r>
        <r>
          <rPr>
            <b/>
            <sz val="8"/>
            <color indexed="8"/>
            <rFont val="Comic Sans MS"/>
            <family val="4"/>
          </rPr>
          <t>formule =</t>
        </r>
        <r>
          <rPr>
            <sz val="8"/>
            <color indexed="8"/>
            <rFont val="Comic Sans MS"/>
            <family val="4"/>
          </rPr>
          <t>SOM(D56:D58)</t>
        </r>
      </text>
    </comment>
    <comment ref="F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na koken
</t>
        </r>
      </text>
    </comment>
    <comment ref="H58" authorId="1" shapeId="0">
      <text>
        <r>
          <rPr>
            <i/>
            <sz val="8"/>
            <color indexed="8"/>
            <rFont val="Comic Sans MS"/>
            <family val="4"/>
          </rPr>
          <t xml:space="preserve">De brouwer:
</t>
        </r>
        <r>
          <rPr>
            <sz val="8"/>
            <color indexed="8"/>
            <rFont val="Comic Sans MS"/>
            <family val="4"/>
          </rPr>
          <t xml:space="preserve">Vul hier de koel snelheid na het koken in °C per min.   in.
</t>
        </r>
        <r>
          <rPr>
            <sz val="8"/>
            <color indexed="8"/>
            <rFont val="Tahoma"/>
            <family val="2"/>
          </rPr>
          <t xml:space="preserve">
Deze waarde wordt proefondervindelijk vastgesteld gedurende enkele brouwsels
Pas de waarde in G58 aan totdat in K53 de juiste tijd verschijnt
Natuurlijke koeling 0,1 - 0,2 °C / min.
Doorstroomkoeler 2 - 4 °C / min
Celopmaak; aangepast, type 0,# "°C/min"</t>
        </r>
      </text>
    </comment>
    <comment ref="I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maischen + koken in uren
</t>
        </r>
      </text>
    </comment>
    <comment ref="K58"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=tabellen!E19/60
</t>
        </r>
        <r>
          <rPr>
            <sz val="8"/>
            <color indexed="8"/>
            <rFont val="Comic Sans MS"/>
            <family val="4"/>
          </rPr>
          <t xml:space="preserve">
De totale, benodigde tijd voor maischen, koken en koelen wordt opgehaald uit tabblad </t>
        </r>
        <r>
          <rPr>
            <b/>
            <sz val="8"/>
            <color indexed="8"/>
            <rFont val="Comic Sans MS"/>
            <family val="4"/>
          </rPr>
          <t>tabellen</t>
        </r>
      </text>
    </comment>
  </commentList>
</comments>
</file>

<file path=xl/comments2.xml><?xml version="1.0" encoding="utf-8"?>
<comments xmlns="http://schemas.openxmlformats.org/spreadsheetml/2006/main">
  <authors>
    <author>Ser Vullings</author>
  </authors>
  <commentList>
    <comment ref="B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Alle mouten zijn gemaakt van 2-rijige gerst.  
</t>
        </r>
        <r>
          <rPr>
            <b/>
            <sz val="8"/>
            <color indexed="81"/>
            <rFont val="Comic Sans MS"/>
            <family val="4"/>
          </rPr>
          <t xml:space="preserve">Bewaar mout op een koele en droge plaats. </t>
        </r>
      </text>
    </comment>
    <comment ref="E1" authorId="0" shapeId="0">
      <text>
        <r>
          <rPr>
            <i/>
            <sz val="8"/>
            <color indexed="81"/>
            <rFont val="Tahoma"/>
            <family val="2"/>
          </rPr>
          <t>Ser Vullings:</t>
        </r>
        <r>
          <rPr>
            <sz val="8"/>
            <color indexed="81"/>
            <rFont val="Tahoma"/>
            <family val="2"/>
          </rPr>
          <t xml:space="preserve">
De EBC waarde is een gemiddelde van de leveranciers opgave</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3" authorId="0" shapeId="0">
      <text>
        <r>
          <rPr>
            <i/>
            <sz val="8"/>
            <color indexed="81"/>
            <rFont val="Comic Sans MS"/>
            <family val="4"/>
          </rPr>
          <t>Brouwland:</t>
        </r>
        <r>
          <rPr>
            <sz val="8"/>
            <color indexed="81"/>
            <rFont val="Tahoma"/>
            <family val="2"/>
          </rPr>
          <t xml:space="preserve">
</t>
        </r>
        <r>
          <rPr>
            <sz val="8"/>
            <color indexed="81"/>
            <rFont val="Comic Sans MS"/>
            <family val="4"/>
          </rPr>
          <t>Deze gerstemouten worden tot 25 EBC als basismout gebruikt en kunnen tot 100% gestort worden.</t>
        </r>
      </text>
    </comment>
    <comment ref="B4" authorId="0" shapeId="0">
      <text>
        <r>
          <rPr>
            <i/>
            <sz val="8"/>
            <color indexed="81"/>
            <rFont val="Tahoma"/>
            <family val="2"/>
          </rPr>
          <t>Brouwland:</t>
        </r>
        <r>
          <rPr>
            <sz val="8"/>
            <color indexed="81"/>
            <rFont val="Tahoma"/>
            <family val="2"/>
          </rPr>
          <t xml:space="preserve">
Perfecte storting voor extra blonde lagers. Excellente modificatie en gunstige eiwit- en glucaangehaltes. Excellente filtratie-eigenschappen. Geeft het bier een stevige body en mondgevoel maar tevens een goede schuimontwikkeling en schuimhoudbaarheid. Veelzijdige mout met hoge extractefficiëntie voor het betrouwbaar brouwen van lagers in elke (pub)brouwerij. Optimale opbrengst met om het even welke brouwmethode: ééntraps- of meertraps infusie tot decoctie. Stort 100 %.</t>
        </r>
      </text>
    </comment>
    <comment ref="B5" authorId="0" shapeId="0">
      <text>
        <r>
          <rPr>
            <i/>
            <sz val="8"/>
            <color indexed="81"/>
            <rFont val="Tahoma"/>
            <family val="2"/>
          </rPr>
          <t xml:space="preserve">Brouwland:
Geschikt voor Pilsner, Lager en Ales. Stort 100 %.
</t>
        </r>
      </text>
    </comment>
    <comment ref="B6" authorId="0" shapeId="0">
      <text>
        <r>
          <rPr>
            <i/>
            <sz val="8"/>
            <color indexed="81"/>
            <rFont val="Comic Sans MS"/>
            <family val="4"/>
          </rPr>
          <t>Brouwland:</t>
        </r>
        <r>
          <rPr>
            <sz val="8"/>
            <color indexed="81"/>
            <rFont val="Tahoma"/>
            <family val="2"/>
          </rPr>
          <t xml:space="preserve">
</t>
        </r>
        <r>
          <rPr>
            <sz val="8"/>
            <color indexed="81"/>
            <rFont val="Comic Sans MS"/>
            <family val="4"/>
          </rPr>
          <t>In Engeland ook wel lagermout genoemd. 
Wordt gebruikt als basismout voor alle pilstype bieren.</t>
        </r>
      </text>
    </comment>
    <comment ref="B7" authorId="0" shapeId="0">
      <text>
        <r>
          <rPr>
            <i/>
            <sz val="8"/>
            <color indexed="81"/>
            <rFont val="Tahoma"/>
            <family val="2"/>
          </rPr>
          <t>Brouwland:</t>
        </r>
        <r>
          <rPr>
            <sz val="8"/>
            <color indexed="81"/>
            <rFont val="Tahoma"/>
            <family val="2"/>
          </rPr>
          <t xml:space="preserve">
In het bijzonder geproduceert voor ‘Boheemse’ kenmerken voor het geven van een volle smaak, een goud-blonde kleur en een complexe moutigheid aan het bier. Stort 100 %.</t>
        </r>
      </text>
    </comment>
    <comment ref="B8" authorId="0" shapeId="0">
      <text>
        <r>
          <rPr>
            <i/>
            <sz val="8"/>
            <color indexed="81"/>
            <rFont val="Tahoma"/>
            <family val="2"/>
          </rPr>
          <t>Brouwland:
Traditioneel, authentieke vloermout, geproduceert in Tsjechië volgens de hoogste Weyermann kwaliteitsvoorschriften. Stort 100 %.</t>
        </r>
        <r>
          <rPr>
            <sz val="8"/>
            <color indexed="81"/>
            <rFont val="Tahoma"/>
            <family val="2"/>
          </rPr>
          <t xml:space="preserve">
</t>
        </r>
      </text>
    </comment>
    <comment ref="B9" authorId="0" shapeId="0">
      <text>
        <r>
          <rPr>
            <i/>
            <sz val="8"/>
            <color indexed="81"/>
            <rFont val="Tahoma"/>
            <family val="2"/>
          </rPr>
          <t>Brouwland:
Geschikt voor Lager en Ales. Stort 100 %.</t>
        </r>
        <r>
          <rPr>
            <sz val="8"/>
            <color indexed="81"/>
            <rFont val="Tahoma"/>
            <family val="2"/>
          </rPr>
          <t xml:space="preserve">
</t>
        </r>
      </text>
    </comment>
    <comment ref="B10" authorId="0" shapeId="0">
      <text>
        <r>
          <rPr>
            <i/>
            <sz val="8"/>
            <color indexed="81"/>
            <rFont val="Comic Sans MS"/>
            <family val="4"/>
          </rPr>
          <t>Brouwland:</t>
        </r>
        <r>
          <rPr>
            <sz val="8"/>
            <color indexed="81"/>
            <rFont val="Tahoma"/>
            <family val="2"/>
          </rPr>
          <t xml:space="preserve">
</t>
        </r>
        <r>
          <rPr>
            <sz val="8"/>
            <color indexed="81"/>
            <rFont val="Comic Sans MS"/>
            <family val="4"/>
          </rPr>
          <t>Belgische mout. 
Ietsje donkerder dan de pilsmout en veelal gebruikt voor ale-type bieren.</t>
        </r>
      </text>
    </comment>
    <comment ref="B11" authorId="0" shapeId="0">
      <text>
        <r>
          <rPr>
            <i/>
            <sz val="8"/>
            <color indexed="81"/>
            <rFont val="Comic Sans MS"/>
            <family val="4"/>
          </rPr>
          <t>Brouwland:</t>
        </r>
        <r>
          <rPr>
            <sz val="8"/>
            <color indexed="81"/>
            <rFont val="Tahoma"/>
            <family val="2"/>
          </rPr>
          <t xml:space="preserve">
</t>
        </r>
        <r>
          <rPr>
            <sz val="8"/>
            <color indexed="81"/>
            <rFont val="Comic Sans MS"/>
            <family val="4"/>
          </rPr>
          <t>Ietsje donkerder dan de pilsmout en veelal gebruikt voor ale-type bieren. 
Duitse mout.</t>
        </r>
      </text>
    </comment>
    <comment ref="B12" authorId="0" shapeId="0">
      <text>
        <r>
          <rPr>
            <i/>
            <sz val="8"/>
            <color indexed="81"/>
            <rFont val="Tahoma"/>
            <family val="2"/>
          </rPr>
          <t>Brouwland:
Volle, goudkleurige, zacht smakende bieren. Stort 100 %</t>
        </r>
        <r>
          <rPr>
            <sz val="8"/>
            <color indexed="81"/>
            <rFont val="Tahoma"/>
            <family val="2"/>
          </rPr>
          <t xml:space="preserve">
</t>
        </r>
      </text>
    </comment>
    <comment ref="B13" authorId="0" shapeId="0">
      <text>
        <r>
          <rPr>
            <i/>
            <sz val="8"/>
            <color indexed="81"/>
            <rFont val="Tahoma"/>
            <family val="2"/>
          </rPr>
          <t>Brouwland:
Verbetert de body en het aroma van donkere bieren. Stort 100 %.</t>
        </r>
        <r>
          <rPr>
            <sz val="8"/>
            <color indexed="81"/>
            <rFont val="Tahoma"/>
            <family val="2"/>
          </rPr>
          <t xml:space="preserve">
</t>
        </r>
      </text>
    </comment>
    <comment ref="B14"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amberkleurige bieren. 
Geeft een moutige smaak en aroma aan het bier.</t>
        </r>
      </text>
    </comment>
    <comment ref="B15" authorId="0" shapeId="0">
      <text>
        <r>
          <rPr>
            <i/>
            <sz val="8"/>
            <color indexed="81"/>
            <rFont val="Tahoma"/>
            <family val="2"/>
          </rPr>
          <t>Brouwland:
Verbetert de body en het aroma van donkere bieren. Stort 100 %.</t>
        </r>
        <r>
          <rPr>
            <sz val="8"/>
            <color indexed="81"/>
            <rFont val="Tahoma"/>
            <family val="2"/>
          </rPr>
          <t xml:space="preserve">
</t>
        </r>
      </text>
    </comment>
    <comment ref="B16" authorId="0" shapeId="0">
      <text>
        <r>
          <rPr>
            <i/>
            <sz val="8"/>
            <color indexed="81"/>
            <rFont val="Comic Sans MS"/>
            <family val="4"/>
          </rPr>
          <t>Brouwland:</t>
        </r>
        <r>
          <rPr>
            <sz val="8"/>
            <color indexed="81"/>
            <rFont val="Tahoma"/>
            <family val="2"/>
          </rPr>
          <t xml:space="preserve">
</t>
        </r>
        <r>
          <rPr>
            <sz val="8"/>
            <color indexed="81"/>
            <rFont val="Comic Sans MS"/>
            <family val="4"/>
          </rPr>
          <t>Bij het droogproces is deze mout langzaam naar 140°C gebracht. Daardoor is deze mout rijk aan aroma’s. Geeft ook een typische moutsmaak aan het bier. Bij langdurig bewaren, kan er aromaverlies optreden. Storting tot 30%.</t>
        </r>
      </text>
    </comment>
    <comment ref="B18" authorId="0" shapeId="0">
      <text>
        <r>
          <rPr>
            <i/>
            <sz val="8"/>
            <color indexed="81"/>
            <rFont val="Comic Sans MS"/>
            <family val="4"/>
          </rPr>
          <t>Brouwland:</t>
        </r>
        <r>
          <rPr>
            <sz val="8"/>
            <color indexed="81"/>
            <rFont val="Tahoma"/>
            <family val="2"/>
          </rPr>
          <t xml:space="preserve">
</t>
        </r>
        <r>
          <rPr>
            <sz val="8"/>
            <color indexed="81"/>
            <rFont val="Comic Sans MS"/>
            <family val="4"/>
          </rPr>
          <t>Het woord zegt het zelf: het zijn mouten waarvan de graankorrel gedeeltelijk versuikerd is. Ze worden veelal gebruikt om het mondgevoel en body van het bier te verhogen en om de schuimstabiliteit te verbeteren.</t>
        </r>
      </text>
    </comment>
    <comment ref="B19" authorId="0" shapeId="0">
      <text>
        <r>
          <rPr>
            <i/>
            <sz val="8"/>
            <color indexed="81"/>
            <rFont val="Comic Sans MS"/>
            <family val="4"/>
          </rPr>
          <t>Brouwland:</t>
        </r>
        <r>
          <rPr>
            <sz val="8"/>
            <color indexed="81"/>
            <rFont val="Tahoma"/>
            <family val="2"/>
          </rPr>
          <t xml:space="preserve">
</t>
        </r>
        <r>
          <rPr>
            <sz val="8"/>
            <color indexed="81"/>
            <rFont val="Comic Sans MS"/>
            <family val="4"/>
          </rPr>
          <t>Wordt vooral gebruikt bij lichtere bieren voor een verhoogde schuimkraag, verhoogde body en zachtere smaak. Men gebruikt meestal 5-10%; maar men kan tot zelfs 40 % storten.</t>
        </r>
      </text>
    </comment>
    <comment ref="B20" authorId="0" shapeId="0">
      <text>
        <r>
          <rPr>
            <i/>
            <sz val="8"/>
            <color indexed="81"/>
            <rFont val="Tahoma"/>
            <family val="2"/>
          </rPr>
          <t>Brouwland:</t>
        </r>
        <r>
          <rPr>
            <sz val="8"/>
            <color indexed="81"/>
            <rFont val="Tahoma"/>
            <family val="2"/>
          </rPr>
          <t xml:space="preserve">
Verbetert en schuimkraag en de schuimhoudbaarheid. Geeft een vollere smaak. Stort 5-10 % voor Pilsner-bieren, 40 % voor lichtere bieren.</t>
        </r>
      </text>
    </comment>
    <comment ref="B21"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ales, hefe-weizen, meibok-bieren, blonde abdijbieren,… 
Stort 10 à 15%. Geeft een voller aroma, zachtere smaak en diepere kleur.</t>
        </r>
      </text>
    </comment>
    <comment ref="B22" authorId="0" shapeId="0">
      <text>
        <r>
          <rPr>
            <i/>
            <sz val="8"/>
            <color indexed="81"/>
            <rFont val="Tahoma"/>
            <family val="2"/>
          </rPr>
          <t>Ser Vullings:</t>
        </r>
        <r>
          <rPr>
            <sz val="8"/>
            <color indexed="81"/>
            <rFont val="Tahoma"/>
            <family val="2"/>
          </rPr>
          <t xml:space="preserve">
Geeft een volle, ronde smaak en een diepe, verzadigde kleur. Heeft een goed effect op de schuimkraag. Stort 10-15 % voor ales en 30 % voor lichtere bieren, bieren met laag alcoholgehalte en alcoholvrije bieren.</t>
        </r>
      </text>
    </comment>
    <comment ref="B23" authorId="0" shapeId="0">
      <text>
        <r>
          <rPr>
            <i/>
            <sz val="8"/>
            <color indexed="81"/>
            <rFont val="Tahoma"/>
            <family val="2"/>
          </rPr>
          <t>Brouwland:</t>
        </r>
        <r>
          <rPr>
            <sz val="8"/>
            <color indexed="81"/>
            <rFont val="Tahoma"/>
            <family val="2"/>
          </rPr>
          <t xml:space="preserve">
Goud-bruine, licht aromatische korrels. Geeft een afgewerkt bier met vol, afgerond aroma, kleurdiepte en een stevige, romige schuimkraag. Stort 30 %.</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Wordt gebruikt in Brown Ales, Vlaams Bruin, Bockbieren,... Stort 10 à 25%. Geeft een verhoogd mout-aroma en een rode kleur.</t>
        </r>
      </text>
    </comment>
    <comment ref="B25" authorId="0" shapeId="0">
      <text>
        <r>
          <rPr>
            <i/>
            <sz val="8"/>
            <color indexed="81"/>
            <rFont val="Tahoma"/>
            <family val="2"/>
          </rPr>
          <t>Brouwland:
Wordt gebruikt in Brown Ales, Vlaams Bruin, Bockbieren,... Stort 10 à 25%. Geeft een verhoogd mout-aroma en een rode kleur.</t>
        </r>
        <r>
          <rPr>
            <sz val="8"/>
            <color indexed="81"/>
            <rFont val="Tahoma"/>
            <family val="2"/>
          </rPr>
          <t xml:space="preserve">
</t>
        </r>
      </text>
    </comment>
    <comment ref="B26" authorId="0" shapeId="0">
      <text>
        <r>
          <rPr>
            <i/>
            <sz val="8"/>
            <color indexed="81"/>
            <rFont val="Tahoma"/>
            <family val="2"/>
          </rPr>
          <t>Brouwland:
Geeft een vollere smaak en een verbeterd moutaroma. Bezorgt het bier een diepe, verzadigde rode kleur. Stort 25 %.</t>
        </r>
        <r>
          <rPr>
            <sz val="8"/>
            <color indexed="81"/>
            <rFont val="Tahoma"/>
            <family val="2"/>
          </rPr>
          <t xml:space="preserve">
</t>
        </r>
      </text>
    </comment>
    <comment ref="B27"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tarwebieren, Pale-Ales en Bokbieren. Stort 10 à 20%. Geeft een verhoogde smaakstabiliteit, zorgt voor een dieprode kleur, verhoogt de body.</t>
        </r>
      </text>
    </comment>
    <comment ref="B28"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In Engeland ook wel “Crystalmalt” genoemd. 
Stort 1 à 5% voor blonde bieren, tot 10% voor donkere bieren. Geeft een vollere, ronde en caramelzoete smaak.
</t>
        </r>
      </text>
    </comment>
    <comment ref="B29" authorId="0" shapeId="0">
      <text>
        <r>
          <rPr>
            <i/>
            <sz val="8"/>
            <color indexed="81"/>
            <rFont val="Tahoma"/>
            <family val="2"/>
          </rPr>
          <t>Brouwland:
Goud-bruine, licht aromatische korrels. Voegt een amber- tot rood-koperachtige kleur toe aan het bier. Voegt mondgevoel en een middelmatig moutaccent toe. Stort 5-10 % voor donkere bieren, 1-5 % voor lichtere bieren en pale ale.</t>
        </r>
        <r>
          <rPr>
            <sz val="8"/>
            <color indexed="81"/>
            <rFont val="Tahoma"/>
            <family val="2"/>
          </rPr>
          <t xml:space="preserve">
</t>
        </r>
      </text>
    </comment>
    <comment ref="B30" authorId="0" shapeId="0">
      <text>
        <r>
          <rPr>
            <i/>
            <sz val="8"/>
            <color indexed="81"/>
            <rFont val="Tahoma"/>
            <family val="2"/>
          </rPr>
          <t>Brouwland:</t>
        </r>
        <r>
          <rPr>
            <sz val="8"/>
            <color indexed="81"/>
            <rFont val="Tahoma"/>
            <family val="2"/>
          </rPr>
          <t xml:space="preserve">
Geeft een voller bier met afgeronde smaak met een diep verzadigde kleur. Verhoogt het moutaroma. Stort 5-10 % voor donkere bieren, 1-5 % voor lichte bieren en pale ale.</t>
        </r>
      </text>
    </comment>
    <comment ref="B31" authorId="0" shapeId="0">
      <text>
        <r>
          <rPr>
            <i/>
            <sz val="8"/>
            <color indexed="81"/>
            <rFont val="Comic Sans MS"/>
            <family val="4"/>
          </rPr>
          <t>Brouwland:</t>
        </r>
        <r>
          <rPr>
            <sz val="8"/>
            <color indexed="81"/>
            <rFont val="Tahoma"/>
            <family val="2"/>
          </rPr>
          <t xml:space="preserve">
</t>
        </r>
        <r>
          <rPr>
            <sz val="8"/>
            <color indexed="81"/>
            <rFont val="Comic Sans MS"/>
            <family val="4"/>
          </rPr>
          <t>De donkerste broeimout. Geeft een sterk moutaroma aan krachtige amberkleurige of donkere bieren. 
Storting tot 20%.</t>
        </r>
      </text>
    </comment>
    <comment ref="B32" authorId="0" shapeId="0">
      <text>
        <r>
          <rPr>
            <i/>
            <sz val="8"/>
            <color indexed="81"/>
            <rFont val="Comic Sans MS"/>
            <family val="4"/>
          </rPr>
          <t>Brouwland:</t>
        </r>
        <r>
          <rPr>
            <sz val="8"/>
            <color indexed="81"/>
            <rFont val="Tahoma"/>
            <family val="2"/>
          </rPr>
          <t xml:space="preserve">
</t>
        </r>
        <r>
          <rPr>
            <sz val="8"/>
            <color indexed="81"/>
            <rFont val="Comic Sans MS"/>
            <family val="4"/>
          </rPr>
          <t>Is de donkerste caramelmout die beschikbaar is. Geeft een voller moutaroma, een dieprode tot donkere kleur en een caramel- tot rozijnensmaak. Gebruik 5% voor een lichte toets. Stort tot 15% voor donkere bruin-zwarte bieren. Wordt o.a. gebruikt in stout, porters, Belgische abdijbieren...</t>
        </r>
      </text>
    </comment>
    <comment ref="B33" authorId="0" shapeId="0">
      <text>
        <r>
          <rPr>
            <i/>
            <sz val="8"/>
            <color indexed="81"/>
            <rFont val="Tahoma"/>
            <family val="2"/>
          </rPr>
          <t>Brouwland:
Zacht, moutig karamelsmaak. Verbetert het mondgevoel. Voegt een dieprode kleur toe. Bevordert smaakstabiliteit. Stort 15 %.</t>
        </r>
        <r>
          <rPr>
            <sz val="8"/>
            <color indexed="81"/>
            <rFont val="Tahoma"/>
            <family val="2"/>
          </rPr>
          <t xml:space="preserve">
</t>
        </r>
      </text>
    </comment>
    <comment ref="B35" authorId="0" shapeId="0">
      <text>
        <r>
          <rPr>
            <i/>
            <sz val="8"/>
            <color indexed="81"/>
            <rFont val="Comic Sans MS"/>
            <family val="4"/>
          </rPr>
          <t>Brouwland:</t>
        </r>
        <r>
          <rPr>
            <sz val="8"/>
            <color indexed="81"/>
            <rFont val="Tahoma"/>
            <family val="2"/>
          </rPr>
          <t xml:space="preserve">
</t>
        </r>
        <r>
          <rPr>
            <sz val="8"/>
            <color indexed="81"/>
            <rFont val="Comic Sans MS"/>
            <family val="4"/>
          </rPr>
          <t>Deze donker gekleurde mouten worden gebruikt voor het maken van donkere bieren zoals stout, donkere abdijbieren... Geeft, afhankelijk van de gebruikte dosis, een nootachtige tot geroosterde smaak aan uw bier. Gebruik ze in kleine hoeveelheden van 1 tot 5%.</t>
        </r>
      </text>
    </comment>
    <comment ref="B36" authorId="0" shapeId="0">
      <text>
        <r>
          <rPr>
            <i/>
            <sz val="8"/>
            <color indexed="81"/>
            <rFont val="Comic Sans MS"/>
            <family val="4"/>
          </rPr>
          <t>Brouwland:</t>
        </r>
        <r>
          <rPr>
            <sz val="8"/>
            <color indexed="81"/>
            <rFont val="Tahoma"/>
            <family val="2"/>
          </rPr>
          <t xml:space="preserve">
</t>
        </r>
        <r>
          <rPr>
            <sz val="8"/>
            <color indexed="81"/>
            <rFont val="Comic Sans MS"/>
            <family val="4"/>
          </rPr>
          <t>Eindelijk leverbaar: de echte BISCUIT mout 50 EBC. Deze zeer lichte roostmout geeft een brood/biscuit-aroma aan uw bier. Aangeraden dosis: 5-15%.</t>
        </r>
      </text>
    </comment>
    <comment ref="B37"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 Wordt gemaakt van gerst zonder zemelen en heeft daardoor een zachtere smaak met minder bitterheid.</t>
        </r>
      </text>
    </comment>
    <comment ref="B38" authorId="0" shapeId="0">
      <text>
        <r>
          <rPr>
            <i/>
            <sz val="8"/>
            <color indexed="81"/>
            <rFont val="Tahoma"/>
            <family val="2"/>
          </rPr>
          <t>Brouwland:
Zorgvuldig en evenwichtig geroosterde roggemout. Verbetert de diepdonkere kleur, het aroma en de romigheid van donkere ales. Stort 1-5 %.</t>
        </r>
        <r>
          <rPr>
            <sz val="8"/>
            <color indexed="81"/>
            <rFont val="Tahoma"/>
            <family val="2"/>
          </rPr>
          <t xml:space="preserve">
</t>
        </r>
      </text>
    </comment>
    <comment ref="B39"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t>
        </r>
        <r>
          <rPr>
            <sz val="8"/>
            <color indexed="81"/>
            <rFont val="Tahoma"/>
            <family val="2"/>
          </rPr>
          <t xml:space="preserve"> </t>
        </r>
      </text>
    </comment>
    <comment ref="B40" authorId="0" shapeId="0">
      <text>
        <r>
          <rPr>
            <i/>
            <sz val="8"/>
            <color indexed="81"/>
            <rFont val="Tahoma"/>
            <family val="2"/>
          </rPr>
          <t>Brouwland:
Wordt à rato van enkele procenten (max 5%) gebruikt in brown ales, porters, donkere abdijbieren,... Wordt gemaakt van gerst zonder zemelen en heeft daardoor een zachtere smaak met minder bitterheid.</t>
        </r>
        <r>
          <rPr>
            <sz val="8"/>
            <color indexed="81"/>
            <rFont val="Tahoma"/>
            <family val="2"/>
          </rPr>
          <t xml:space="preserve">
</t>
        </r>
      </text>
    </comment>
    <comment ref="B41" authorId="0" shapeId="0">
      <text>
        <r>
          <rPr>
            <i/>
            <sz val="8"/>
            <color indexed="81"/>
            <rFont val="Tahoma"/>
            <family val="2"/>
          </rPr>
          <t>Brouwland:
Geeft donkere bieren meer aroma en kleur. Deze unieke ontbitterde geroosterde gerstemout voegt aroma, kleur en body toe aan het bier. Met een mildere, zachtere smaak dan met volledige granen. Stort 1-5 %.</t>
        </r>
        <r>
          <rPr>
            <sz val="8"/>
            <color indexed="81"/>
            <rFont val="Tahoma"/>
            <family val="2"/>
          </rPr>
          <t xml:space="preserve">
</t>
        </r>
      </text>
    </comment>
    <comment ref="B42"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 
Wordt gemaakt van gerst zonder zemelen en heeft daardoor een zachtere smaak met minder bitterheid.</t>
        </r>
      </text>
    </comment>
    <comment ref="B43"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t>
        </r>
      </text>
    </comment>
    <comment ref="B44" authorId="0" shapeId="0">
      <text>
        <r>
          <rPr>
            <i/>
            <sz val="8"/>
            <color indexed="81"/>
            <rFont val="Tahoma"/>
            <family val="2"/>
          </rPr>
          <t>Brouwland:</t>
        </r>
        <r>
          <rPr>
            <sz val="8"/>
            <color indexed="81"/>
            <rFont val="Tahoma"/>
            <family val="2"/>
          </rPr>
          <t xml:space="preserve">
Nog iets donkerder dan de chocolate 900 EBC. Wordt à rato van enkele procenten (max 5%) gebruikt in brown ales, porters, abdijbieren... 
Wordt gemaakt van gerst zonder zemelen en heeft daardoor een zachtere smaak met minder bitterheid.</t>
        </r>
      </text>
    </comment>
    <comment ref="B46"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Lichte tarwemout wordt ook in kleinere hoeveelheden gestort voor het verkrijgen van een “brood”-toets.</t>
        </r>
      </text>
    </comment>
    <comment ref="B47"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maar wordt ook in kleinere hoeveelheden gestort voor het verkrijgen van een “brood”-toets. Zorgt voor een kruidige smaak in het bier en bevordert de schuimvorming. Wordt tot 50% gestort.</t>
        </r>
      </text>
    </comment>
    <comment ref="B48" authorId="0" shapeId="0">
      <text>
        <r>
          <rPr>
            <i/>
            <sz val="8"/>
            <color indexed="81"/>
            <rFont val="Tahoma"/>
            <family val="2"/>
          </rPr>
          <t>Brouwland:
Typisch bovengistend aroma. Voor een lichter, meer levendiger bier. Produceert uitstekende typische tarwebieren. Stort 80 %.</t>
        </r>
        <r>
          <rPr>
            <sz val="8"/>
            <color indexed="81"/>
            <rFont val="Tahoma"/>
            <family val="2"/>
          </rPr>
          <t xml:space="preserve">
</t>
        </r>
      </text>
    </comment>
    <comment ref="B49" authorId="0" shapeId="0">
      <text>
        <r>
          <rPr>
            <i/>
            <sz val="8"/>
            <color indexed="81"/>
            <rFont val="Tahoma"/>
            <family val="2"/>
          </rPr>
          <t xml:space="preserve">Brouwland:
Afkomstig van Duitse top kwaliteit lentetarwe. Geeft het fijnste gerookte eik aroma en smaak. Stort 80 %. 
Weyermann® tarwemout donker 15 EBC 
  Weyermann® tarwemout donker 15 EBC
Voor donkere tarwebieren. Zorgt voor een kruidige smaak in het bier en bevordert de schuimvorming. Wordt tot 50% gestort. 
  up       
</t>
        </r>
        <r>
          <rPr>
            <sz val="8"/>
            <color indexed="81"/>
            <rFont val="Tahoma"/>
            <family val="2"/>
          </rPr>
          <t xml:space="preserve">
</t>
        </r>
      </text>
    </comment>
    <comment ref="B50" authorId="0" shapeId="0">
      <text>
        <r>
          <rPr>
            <i/>
            <sz val="8"/>
            <color indexed="81"/>
            <rFont val="Comic Sans MS"/>
            <family val="4"/>
          </rPr>
          <t>Brouwland:</t>
        </r>
        <r>
          <rPr>
            <sz val="8"/>
            <color indexed="81"/>
            <rFont val="Tahoma"/>
            <family val="2"/>
          </rPr>
          <t xml:space="preserve">
</t>
        </r>
        <r>
          <rPr>
            <sz val="8"/>
            <color indexed="81"/>
            <rFont val="Comic Sans MS"/>
            <family val="4"/>
          </rPr>
          <t>Voor donkere tarwebieren. Zorgt voor een kruidige smaak in het bier en bevordert de schuimvorming. Wordt tot 50% gestort.</t>
        </r>
      </text>
    </comment>
    <comment ref="B51" authorId="0" shapeId="0">
      <text>
        <r>
          <rPr>
            <i/>
            <sz val="8"/>
            <color indexed="81"/>
            <rFont val="Comic Sans MS"/>
            <family val="4"/>
          </rPr>
          <t>Brouwland:</t>
        </r>
        <r>
          <rPr>
            <sz val="8"/>
            <color indexed="81"/>
            <rFont val="Tahoma"/>
            <family val="2"/>
          </rPr>
          <t xml:space="preserve">
</t>
        </r>
        <r>
          <rPr>
            <sz val="8"/>
            <color indexed="81"/>
            <rFont val="Comic Sans MS"/>
            <family val="4"/>
          </rPr>
          <t>Donker gebrande tarwemout die veel smaak en kleur geeft. Aanbevolen storting: max. 6%.</t>
        </r>
      </text>
    </comment>
    <comment ref="B53" authorId="0" shapeId="0">
      <text>
        <r>
          <rPr>
            <i/>
            <sz val="8"/>
            <color indexed="81"/>
            <rFont val="Comic Sans MS"/>
            <family val="4"/>
          </rPr>
          <t>Brouwland:</t>
        </r>
        <r>
          <rPr>
            <sz val="8"/>
            <color indexed="81"/>
            <rFont val="Tahoma"/>
            <family val="2"/>
          </rPr>
          <t xml:space="preserve">
</t>
        </r>
        <r>
          <rPr>
            <sz val="8"/>
            <color indexed="81"/>
            <rFont val="Comic Sans MS"/>
            <family val="4"/>
          </rPr>
          <t>Geef een uitgeproken karakter aan uw bier met bv. rookmout, roggemout, speltmout, Whiskymout of geroosterde gerst.</t>
        </r>
      </text>
    </comment>
    <comment ref="B54" authorId="0" shapeId="0">
      <text>
        <r>
          <rPr>
            <i/>
            <sz val="8"/>
            <color indexed="81"/>
            <rFont val="Comic Sans MS"/>
            <family val="4"/>
          </rPr>
          <t>Brouwland:</t>
        </r>
        <r>
          <rPr>
            <sz val="8"/>
            <color indexed="81"/>
            <rFont val="Tahoma"/>
            <family val="2"/>
          </rPr>
          <t xml:space="preserve">
</t>
        </r>
        <r>
          <rPr>
            <sz val="8"/>
            <color indexed="81"/>
            <rFont val="Comic Sans MS"/>
            <family val="4"/>
          </rPr>
          <t>Gebruikt voor het verlagen van de pH van de wort onder het ‘Reinheitsgebot.’ Zorgt voor een beter “vermaischen” en een verhoogde bierstabiliteit. 
Stort 1 à 10%.</t>
        </r>
      </text>
    </comment>
    <comment ref="B55" authorId="0" shapeId="0">
      <text>
        <r>
          <rPr>
            <i/>
            <sz val="8"/>
            <color indexed="81"/>
            <rFont val="Comic Sans MS"/>
            <family val="4"/>
          </rPr>
          <t>Brouwland:</t>
        </r>
        <r>
          <rPr>
            <sz val="8"/>
            <color indexed="81"/>
            <rFont val="Tahoma"/>
            <family val="2"/>
          </rPr>
          <t xml:space="preserve">
</t>
        </r>
        <r>
          <rPr>
            <sz val="8"/>
            <color indexed="81"/>
            <rFont val="Comic Sans MS"/>
            <family val="4"/>
          </rPr>
          <t>De enige echte “Rauchmalz.” Gemaakt door het roken van het graan over beukenhout. Geeft een onvervalst rook-aroma aan uw bier. 5 à 10% storting geeft een lichte toets; kan tot 50% gestort worden. Voor de echt zware jongens.</t>
        </r>
      </text>
    </comment>
    <comment ref="B56" authorId="0" shapeId="0">
      <text>
        <r>
          <rPr>
            <i/>
            <sz val="8"/>
            <color indexed="81"/>
            <rFont val="Comic Sans MS"/>
            <family val="4"/>
          </rPr>
          <t>Brouwland:</t>
        </r>
        <r>
          <rPr>
            <sz val="8"/>
            <color indexed="81"/>
            <rFont val="Tahoma"/>
            <family val="2"/>
          </rPr>
          <t xml:space="preserve">
</t>
        </r>
        <r>
          <rPr>
            <sz val="8"/>
            <color indexed="81"/>
            <rFont val="Comic Sans MS"/>
            <family val="4"/>
          </rPr>
          <t>Geeft een typisch rogge-aroma aan uw bier. Kan zelfs als basismout gebruikt worden!</t>
        </r>
      </text>
    </comment>
    <comment ref="B57" authorId="0" shapeId="0">
      <text>
        <r>
          <rPr>
            <i/>
            <sz val="8"/>
            <color indexed="81"/>
            <rFont val="Tahoma"/>
            <family val="2"/>
          </rPr>
          <t>Brouwland:
Hoge mate van modificatie van zowel eiwitten en zetmeel. Excellente brosheid. Lage β-glucaanwaarden. Hoog moutaroma. Voegt een diepe amberkleurige tot rood-bruine kleur, moutigheid, body en mondgevoel aan het nier. Bevordert de smaakstabiliteit. Stort 50 %.</t>
        </r>
        <r>
          <rPr>
            <sz val="8"/>
            <color indexed="81"/>
            <rFont val="Tahoma"/>
            <family val="2"/>
          </rPr>
          <t xml:space="preserve">
</t>
        </r>
      </text>
    </comment>
    <comment ref="B58" authorId="0" shapeId="0">
      <text>
        <r>
          <rPr>
            <i/>
            <sz val="8"/>
            <color indexed="81"/>
            <rFont val="Comic Sans MS"/>
            <family val="4"/>
          </rPr>
          <t>Brouwland:</t>
        </r>
        <r>
          <rPr>
            <sz val="8"/>
            <color indexed="81"/>
            <rFont val="Tahoma"/>
            <family val="2"/>
          </rPr>
          <t xml:space="preserve">
</t>
        </r>
        <r>
          <rPr>
            <sz val="8"/>
            <color indexed="81"/>
            <rFont val="Comic Sans MS"/>
            <family val="4"/>
          </rPr>
          <t>Geschikt voor witbier, donkere, rode en amberkleurige bieren. Melanoidin verbetert de smaakstabiliteit en de volmondigheid. Bijzonder geschikt om een rode kleur te bekomen of om de kleur te perfectioneren. Bevordert het maischproces. Storting tot 20 %.</t>
        </r>
      </text>
    </comment>
    <comment ref="B59" authorId="0" shapeId="0">
      <text>
        <r>
          <rPr>
            <i/>
            <sz val="8"/>
            <color indexed="81"/>
            <rFont val="Comic Sans MS"/>
            <family val="4"/>
          </rPr>
          <t>Brouwland:</t>
        </r>
        <r>
          <rPr>
            <sz val="8"/>
            <color indexed="81"/>
            <rFont val="Tahoma"/>
            <family val="2"/>
          </rPr>
          <t xml:space="preserve">
</t>
        </r>
        <r>
          <rPr>
            <sz val="8"/>
            <color indexed="81"/>
            <rFont val="Comic Sans MS"/>
            <family val="4"/>
          </rPr>
          <t>Onmisbaar voor een echte Ierse stout.</t>
        </r>
      </text>
    </comment>
    <comment ref="B60" authorId="0" shapeId="0">
      <text>
        <r>
          <rPr>
            <i/>
            <sz val="8"/>
            <color indexed="81"/>
            <rFont val="Comic Sans MS"/>
            <family val="4"/>
          </rPr>
          <t>Brouwland:</t>
        </r>
        <r>
          <rPr>
            <sz val="8"/>
            <color indexed="81"/>
            <rFont val="Tahoma"/>
            <family val="2"/>
          </rPr>
          <t xml:space="preserve">
</t>
        </r>
        <r>
          <rPr>
            <sz val="8"/>
            <color indexed="81"/>
            <rFont val="Comic Sans MS"/>
            <family val="4"/>
          </rPr>
          <t>Gemoute spelt, biologisch geteeld! Spelt is een op tarwe lijkende graansoort; Geeft bieren met een frisse en kruidige smaak, alsook een vol mondgevoel. Wordt traditioneel in saisons gebruikt. 
Storting tot 30%.</t>
        </r>
      </text>
    </comment>
    <comment ref="B6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De echte whisky-mout zoals gebruikt door Schotse wisky-distilleerderijen. De mout is gebrand op turf en geeft daardoor een karakteristiek aroma. Ideaal voor het maken van whisky-bier of “whisky-wort”. </t>
        </r>
      </text>
    </comment>
    <comment ref="B62" authorId="0" shapeId="0">
      <text>
        <r>
          <rPr>
            <i/>
            <sz val="8"/>
            <color indexed="81"/>
            <rFont val="Tahoma"/>
            <family val="2"/>
          </rPr>
          <t xml:space="preserve">Brouwland:
Deze zeer lichte roostmout geeft een brood/biscuit-aroma aan uw bier. Aangeraden dosis: 5-15%. </t>
        </r>
        <r>
          <rPr>
            <sz val="8"/>
            <color indexed="81"/>
            <rFont val="Tahoma"/>
            <family val="2"/>
          </rPr>
          <t xml:space="preserve">
</t>
        </r>
      </text>
    </comment>
    <comment ref="B63" authorId="0" shapeId="0">
      <text>
        <r>
          <rPr>
            <i/>
            <sz val="8"/>
            <color indexed="81"/>
            <rFont val="Tahoma"/>
            <family val="2"/>
          </rPr>
          <t>Brouwland:
Gemoute spelt, biologisch geteeld! Storting tot 30 %.</t>
        </r>
        <r>
          <rPr>
            <sz val="8"/>
            <color indexed="81"/>
            <rFont val="Tahoma"/>
            <family val="2"/>
          </rPr>
          <t xml:space="preserve">
</t>
        </r>
      </text>
    </comment>
    <comment ref="B65" authorId="0" shapeId="0">
      <text>
        <r>
          <rPr>
            <i/>
            <sz val="8"/>
            <color indexed="81"/>
            <rFont val="Comic Sans MS"/>
            <family val="4"/>
          </rPr>
          <t>Brouwland:</t>
        </r>
        <r>
          <rPr>
            <sz val="8"/>
            <color indexed="81"/>
            <rFont val="Tahoma"/>
            <family val="2"/>
          </rPr>
          <t xml:space="preserve">
</t>
        </r>
        <r>
          <rPr>
            <sz val="8"/>
            <color indexed="81"/>
            <rFont val="Comic Sans MS"/>
            <family val="4"/>
          </rPr>
          <t>Vlokken toevoegen aan de maisch heeft een invloed op de smaak. Ook omdat de vlokken van ongemoute granen gemaakt zijn.Laat de vlokken, om tot een goede omzetting van het zetmeel te komen, eerst 30 minuten in wat water koken. Daarna laten afkoelen en aan de mout /maisch toevoegen en mee vermaischen.</t>
        </r>
      </text>
    </comment>
    <comment ref="B66"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Verrhoogt body en verbetert schuimkraag. Geeft een pittige graansmaak aan het bier.
</t>
        </r>
      </text>
    </comment>
    <comment ref="B67"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Geven een lichtere kleur dan pilsmout en resulteren in drogere bieren waardoor het hopkarakter beter tot uiting komt. Kunnen tot 40% gebruikt worden om “light” bieren te brouwen. 
</t>
        </r>
      </text>
    </comment>
    <comment ref="B68" authorId="0" shapeId="0">
      <text>
        <r>
          <rPr>
            <i/>
            <sz val="8"/>
            <color indexed="81"/>
            <rFont val="Comic Sans MS"/>
            <family val="4"/>
          </rPr>
          <t>Brouwland:</t>
        </r>
        <r>
          <rPr>
            <sz val="8"/>
            <color indexed="81"/>
            <rFont val="Tahoma"/>
            <family val="2"/>
          </rPr>
          <t xml:space="preserve">
</t>
        </r>
        <r>
          <rPr>
            <sz val="8"/>
            <color indexed="81"/>
            <rFont val="Comic Sans MS"/>
            <family val="4"/>
          </rPr>
          <t>Verhogen de body en schuimkraag. Wordt o.a. in meerdere witbieren gebruikt.</t>
        </r>
      </text>
    </comment>
    <comment ref="B69" authorId="0" shapeId="0">
      <text>
        <r>
          <rPr>
            <i/>
            <sz val="8"/>
            <color indexed="81"/>
            <rFont val="Comic Sans MS"/>
            <family val="4"/>
          </rPr>
          <t>Brouwland:</t>
        </r>
        <r>
          <rPr>
            <sz val="8"/>
            <color indexed="81"/>
            <rFont val="Tahoma"/>
            <family val="2"/>
          </rPr>
          <t xml:space="preserve">
</t>
        </r>
        <r>
          <rPr>
            <sz val="8"/>
            <color indexed="81"/>
            <rFont val="Comic Sans MS"/>
            <family val="4"/>
          </rPr>
          <t>Wordt veelal gebruikt in witbieren, Lambic, Grand Cru,… Geeft vollere smaak en verhoogt de schuimkraag. Gebruik kan tot 20-40 % zonder noemenswaardige problemen. Bij hogere % wordt het filteren/spoelen van de bostel erg moeilijk en moeten eventueel extra zemelen toegevoegd worden om het filterbed niet te laten dichtlopen.</t>
        </r>
      </text>
    </comment>
    <comment ref="B70" authorId="0" shapeId="0">
      <text>
        <r>
          <rPr>
            <i/>
            <sz val="8"/>
            <color indexed="81"/>
            <rFont val="Comic Sans MS"/>
            <family val="4"/>
          </rPr>
          <t>Brouwland:</t>
        </r>
        <r>
          <rPr>
            <sz val="8"/>
            <color indexed="81"/>
            <rFont val="Tahoma"/>
            <family val="2"/>
          </rPr>
          <t xml:space="preserve">
</t>
        </r>
        <r>
          <rPr>
            <sz val="8"/>
            <color indexed="81"/>
            <rFont val="Comic Sans MS"/>
            <family val="4"/>
          </rPr>
          <t>Rijstvlokken bevatten minder eiwitten. Het toevoegen resulteert in een droger bier, waar het hopkarakter beter tot uiting komt. Wordt o.a. gebruikt in Saporo, Budweiser en Heineken type bieren.</t>
        </r>
      </text>
    </comment>
    <comment ref="B72" authorId="0" shapeId="0">
      <text>
        <r>
          <rPr>
            <i/>
            <sz val="8"/>
            <color indexed="81"/>
            <rFont val="Comic Sans MS"/>
            <family val="4"/>
          </rPr>
          <t>Brouwland:</t>
        </r>
        <r>
          <rPr>
            <sz val="8"/>
            <color indexed="81"/>
            <rFont val="Tahoma"/>
            <family val="2"/>
          </rPr>
          <t xml:space="preserve">
</t>
        </r>
        <r>
          <rPr>
            <b/>
            <sz val="8"/>
            <color indexed="81"/>
            <rFont val="Tahoma"/>
            <family val="2"/>
          </rPr>
          <t>Eiwitvrij!</t>
        </r>
        <r>
          <rPr>
            <sz val="8"/>
            <color indexed="81"/>
            <rFont val="Tahoma"/>
            <family val="2"/>
          </rPr>
          <t xml:space="preserve">
</t>
        </r>
        <r>
          <rPr>
            <sz val="8"/>
            <color indexed="81"/>
            <rFont val="Comic Sans MS"/>
            <family val="4"/>
          </rPr>
          <t xml:space="preserve">Moutextract is, het woord zegt het zelf, een extract van mout. Het maischen is dus al gebeurd. Als je bier brouwt met moutextract, moet je zelf dus niet meer maischen en enkel nog hopkoken. Het is een manier van bierbrouwen die door veel hobbybrouwers in Amerika wordt toegepast (de zogenaamde mini-mash methode). Je moet er wel rekening mee houden dat een kg gerstemout niet evenveel suiker bevat als een kg moutextract.
1 kg moutextract poedervorm = 1,60 kg mout! 
1 kg gerstemout = 0,62 kg moutextract poedervorm
</t>
        </r>
        <r>
          <rPr>
            <b/>
            <sz val="8"/>
            <color indexed="81"/>
            <rFont val="Comic Sans MS"/>
            <family val="4"/>
          </rPr>
          <t xml:space="preserve">Moutextract wordt ook veel gebruikt om een giststarter te maken.
</t>
        </r>
        <r>
          <rPr>
            <sz val="8"/>
            <color indexed="81"/>
            <rFont val="Comic Sans MS"/>
            <family val="4"/>
          </rPr>
          <t xml:space="preserve">Neem 100 g moutextract poedervorm en los op in 800 ml water. Laat 5 min koken, laat afkoelen tot 20-25°C, giet over in een steriele erlenmeyer/fles met waterslot en voeg de gist toe.
</t>
        </r>
        <r>
          <rPr>
            <sz val="8"/>
            <color indexed="81"/>
            <rFont val="Tahoma"/>
            <family val="2"/>
          </rPr>
          <t xml:space="preserve">
</t>
        </r>
      </text>
    </comment>
    <comment ref="B79"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Voor "extract"-brouwen en mini-maisch-methode. Kan ook als vervanger voor mout gebruikt worden (gebruik 75 % van de vermelde hoeveelheid) of als vervanger van suiker (vervang 50 - 100 % van de suiker door 125 % moutextract). 
1 kg moutextract vloeibaar = 0,80 kg moutextract poedervorm.
1 kg moutextract vloeibaar = 1,30 kg mout.</t>
        </r>
      </text>
    </comment>
    <comment ref="B80"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tarwemout. Voor "extract"-brouwen en mini-maisch-methode. Kan ook als vervanger voor mout gebruikt worden (gebruik 75 % van de vermelde hoeveelheid) of als vervanger van suiker (vervang 50 - 100 % van de suiker door 125 % moutextract). </t>
        </r>
      </text>
    </comment>
    <comment ref="B8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2"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3"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van gerstemout. Voor "extract"-brouwen en mini-maisch-methode. Kan ook als vervanger voor mout gebruikt worden (gebruik 75 % van de vermelde hoeveelheid) of als vervanger van suiker (vervang 50 - 100 % van de suiker door 125 % moutextract).</t>
        </r>
      </text>
    </comment>
  </commentList>
</comments>
</file>

<file path=xl/comments3.xml><?xml version="1.0" encoding="utf-8"?>
<comments xmlns="http://schemas.openxmlformats.org/spreadsheetml/2006/main">
  <authors>
    <author>Ser Vullings</author>
  </authors>
  <commentLis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List>
</comments>
</file>

<file path=xl/comments4.xml><?xml version="1.0" encoding="utf-8"?>
<comments xmlns="http://schemas.openxmlformats.org/spreadsheetml/2006/main">
  <authors>
    <author>Ser Vullings</author>
    <author/>
  </authors>
  <commentList>
    <comment ref="B1" authorId="0" shapeId="0">
      <text>
        <r>
          <rPr>
            <i/>
            <sz val="8"/>
            <color indexed="81"/>
            <rFont val="Comic Sans MS"/>
            <family val="4"/>
          </rPr>
          <t>LABO:</t>
        </r>
        <r>
          <rPr>
            <sz val="8"/>
            <color indexed="81"/>
            <rFont val="Tahoma"/>
            <family val="2"/>
          </rPr>
          <t xml:space="preserve">
</t>
        </r>
        <r>
          <rPr>
            <sz val="8"/>
            <color indexed="81"/>
            <rFont val="Comic Sans MS"/>
            <family val="4"/>
          </rPr>
          <t>De met # gemerkte hoppen zijn minder gangbaar en daarom slechts beperkt verkrijgbaar in de winkels.
Geel gemerkte hoppen zijn standaard verkrijgbaar bij Brouwland en Brouwmarkt</t>
        </r>
      </text>
    </comment>
    <comment ref="E1" authorId="0" shapeId="0">
      <text>
        <r>
          <rPr>
            <i/>
            <sz val="8"/>
            <color indexed="81"/>
            <rFont val="Comic Sans MS"/>
            <family val="4"/>
          </rPr>
          <t>LABO:</t>
        </r>
        <r>
          <rPr>
            <sz val="8"/>
            <color indexed="81"/>
            <rFont val="Tahoma"/>
            <family val="2"/>
          </rPr>
          <t xml:space="preserve">
</t>
        </r>
        <r>
          <rPr>
            <sz val="8"/>
            <color indexed="81"/>
            <rFont val="Comic Sans MS"/>
            <family val="4"/>
          </rPr>
          <t xml:space="preserve">De cijfers in deze kolom verwijzen naar de volgnummers in de linkerkolom
</t>
        </r>
      </text>
    </comment>
    <comment ref="G1" authorId="0" shapeId="0">
      <text>
        <r>
          <rPr>
            <i/>
            <sz val="8"/>
            <color indexed="81"/>
            <rFont val="Tahoma"/>
            <family val="2"/>
          </rPr>
          <t>Ser Vullings:</t>
        </r>
        <r>
          <rPr>
            <sz val="8"/>
            <color indexed="81"/>
            <rFont val="Tahoma"/>
            <family val="2"/>
          </rPr>
          <t xml:space="preserve">
Dit is de voorraad die je zelf ter beschikking hebt om te brouwen</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4" authorId="0" shapeId="0">
      <text>
        <r>
          <rPr>
            <i/>
            <sz val="8"/>
            <color indexed="81"/>
            <rFont val="Comic Sans MS"/>
            <family val="4"/>
          </rPr>
          <t>Brouwland:</t>
        </r>
        <r>
          <rPr>
            <b/>
            <sz val="8"/>
            <color indexed="81"/>
            <rFont val="Tahoma"/>
            <family val="2"/>
          </rPr>
          <t xml:space="preserve">
</t>
        </r>
        <r>
          <rPr>
            <sz val="8"/>
            <color indexed="81"/>
            <rFont val="Tahoma"/>
            <family val="2"/>
          </rPr>
          <t>V</t>
        </r>
        <r>
          <rPr>
            <sz val="8"/>
            <color indexed="81"/>
            <rFont val="Comic Sans MS"/>
            <family val="4"/>
          </rPr>
          <t>rij nieuwe Amerikaanse hopsoort, die zowel  als bitterhop en aromahop gebruikt kan worden. Het is een hopsoort met een krachtig aroma en met een citrus, bloemachtige toets. Wordt veel gebruikt in ales en IPA's. Een ideale hopsoort om mee te drooghoppen</t>
        </r>
        <r>
          <rPr>
            <sz val="8"/>
            <color indexed="81"/>
            <rFont val="Tahoma"/>
            <family val="2"/>
          </rPr>
          <t xml:space="preserve">
</t>
        </r>
      </text>
    </comment>
    <comment ref="B5" authorId="1" shapeId="0">
      <text>
        <r>
          <rPr>
            <i/>
            <sz val="8"/>
            <color indexed="8"/>
            <rFont val="Comic Sans MS"/>
            <family val="4"/>
          </rPr>
          <t xml:space="preserve">Brouwland:
</t>
        </r>
        <r>
          <rPr>
            <sz val="8"/>
            <color indexed="8"/>
            <rFont val="Comic Sans MS"/>
            <family val="4"/>
          </rPr>
          <t>Men kweekte hem in 1927 uit een kruising tussen Bramling en ol 45, een zaailing van wilde hop. Hij rijpt midden tot laat, is meeldauwgevoelig, maar bestand tegen verwelken.gebruikhem voor bier met veel body, uitstekend aroma. 
De bellen zijn tweemaal zo groot als die van Goldings en donkergroen.</t>
        </r>
        <r>
          <rPr>
            <i/>
            <sz val="8"/>
            <color indexed="8"/>
            <rFont val="Comic Sans MS"/>
            <family val="4"/>
          </rPr>
          <t xml:space="preserve">
</t>
        </r>
      </text>
    </comment>
    <comment ref="B6" authorId="1" shapeId="0">
      <text>
        <r>
          <rPr>
            <i/>
            <sz val="8"/>
            <color indexed="8"/>
            <rFont val="Comic Sans MS"/>
            <family val="4"/>
          </rPr>
          <t xml:space="preserve">Brouwland:
</t>
        </r>
        <r>
          <rPr>
            <sz val="8"/>
            <color indexed="8"/>
            <rFont val="Comic Sans MS"/>
            <family val="4"/>
          </rPr>
          <t>Universele bitterhop. Geeft een uitgebalanceerde bitterheid en is een ideale hopsoort om te combineren met een late aromahopgift in lagerbieren. Geeft in hoge gistingsbieren    licht fruitige en kruidige toetsen.</t>
        </r>
      </text>
    </comment>
    <comment ref="B7" authorId="1" shapeId="0">
      <text>
        <r>
          <rPr>
            <i/>
            <sz val="8"/>
            <color indexed="8"/>
            <rFont val="Comic Sans MS"/>
            <family val="4"/>
          </rPr>
          <t xml:space="preserve">Brouwland:
</t>
        </r>
        <r>
          <rPr>
            <sz val="8"/>
            <color indexed="8"/>
            <rFont val="Comic Sans MS"/>
            <family val="4"/>
          </rPr>
          <t>Amerika's meest populaire aromahop. Deze hopsoort wordt vaak gebruikt in sterk gehopte ales en geeft een uniek citrus/bloemig en grapefruitkarakter. Het is een kruising van Fuggles met de Russische hopsoort Serabrianka.</t>
        </r>
      </text>
    </comment>
    <comment ref="B8" authorId="1" shapeId="0">
      <text>
        <r>
          <rPr>
            <i/>
            <sz val="8"/>
            <color indexed="8"/>
            <rFont val="Comic Sans MS"/>
            <family val="4"/>
          </rPr>
          <t xml:space="preserve">Brouwland:
</t>
        </r>
        <r>
          <rPr>
            <sz val="8"/>
            <color indexed="8"/>
            <rFont val="Comic Sans MS"/>
            <family val="4"/>
          </rPr>
          <t>Wordt door zijn hogere alfagehalte meestal gebruikt als bitterhop. Als grootste hopgift verzekert deze hop een verfrissende, afgeronde en full body bitterheid en zorgt voor een goede basis voor een latere hopgift. Als late hopgift zal het een aangename, fruitige bitterheid aan het bier geven.</t>
        </r>
      </text>
    </comment>
    <comment ref="B11" authorId="1" shapeId="0">
      <text>
        <r>
          <rPr>
            <i/>
            <sz val="8"/>
            <color indexed="8"/>
            <rFont val="Comic Sans MS"/>
            <family val="4"/>
          </rPr>
          <t xml:space="preserve">Brouwland:
</t>
        </r>
        <r>
          <rPr>
            <sz val="8"/>
            <color indexed="8"/>
            <rFont val="Comic Sans MS"/>
            <family val="4"/>
          </rPr>
          <t>Deze hop heeft een zeer fijn aroma en wordt terecht de koning van de Engelse hoppen genoemd. Voor een originele IPA of traditionele Engelse bitter is er eenvoudig geen betere hop. Wordt vaak gebruikt voor nahoppen maar kan door zijn hogere gehalte aan alfazuren ook als bitterhop gebruikt worden. Er zijn vele varieteiten Goldings, maar de beste flavour komt van East Kent.</t>
        </r>
      </text>
    </comment>
    <comment ref="B12" authorId="1" shapeId="0">
      <text>
        <r>
          <rPr>
            <i/>
            <sz val="8"/>
            <color indexed="8"/>
            <rFont val="Comic Sans MS"/>
            <family val="4"/>
          </rPr>
          <t xml:space="preserve">Brouwland:
</t>
        </r>
        <r>
          <rPr>
            <sz val="8"/>
            <color indexed="8"/>
            <rFont val="Comic Sans MS"/>
            <family val="4"/>
          </rPr>
          <t xml:space="preserve">Engelse aromahop met een mild en kruidig karakter. Wordt veel in ales en stouts gebruikt. Uitstekend geschikt om IPA en bitter mee te drooghoppen. Deze sterke hopsoort vertegenwoordigt alle karaktereigenschappenvan smaak, aroma en uitgebalanceerde bitterheid aoor ales. Is gelijkwaardig aan de Sloveense Styrian Goldings.
</t>
        </r>
      </text>
    </comment>
    <comment ref="B14" authorId="1" shapeId="0">
      <text>
        <r>
          <rPr>
            <i/>
            <sz val="8"/>
            <color indexed="8"/>
            <rFont val="Comic Sans MS"/>
            <family val="4"/>
          </rPr>
          <t xml:space="preserve">Brouwland:
</t>
        </r>
        <r>
          <rPr>
            <sz val="8"/>
            <color indexed="8"/>
            <rFont val="Comic Sans MS"/>
            <family val="4"/>
          </rPr>
          <t>Duitslands meest gebruikte aromahopmet een fantastisch en kruidig aroma. Deze hop met zijn delicate fijnheid is de stamvader van veel varieteiten in de VS.  Wordt geteeld in het grootste hopteeltgebied van Europa: de regio tussen Munchen en Nurnberg. Goede ziektetolerantie.</t>
        </r>
      </text>
    </comment>
    <comment ref="B15" authorId="1" shapeId="0">
      <text>
        <r>
          <rPr>
            <i/>
            <sz val="8"/>
            <color indexed="8"/>
            <rFont val="Comic Sans MS"/>
            <family val="4"/>
          </rPr>
          <t xml:space="preserve">Brouwland:
</t>
        </r>
        <r>
          <rPr>
            <sz val="8"/>
            <color indexed="8"/>
            <rFont val="Comic Sans MS"/>
            <family val="4"/>
          </rPr>
          <t>Duitslands meest nobele hopsoort met een zeer fijn aroma en een lichte kruidigheid. Deze hopsoort wordt veel gebruikt voor biersoorten die een specifieke en delicate fijnheid vereisen (voolnamelijk pils en lagerbieren).</t>
        </r>
      </text>
    </comment>
    <comment ref="B16" authorId="1" shapeId="0">
      <text>
        <r>
          <rPr>
            <i/>
            <sz val="8"/>
            <color indexed="8"/>
            <rFont val="Comic Sans MS"/>
            <family val="4"/>
          </rPr>
          <t xml:space="preserve">Brouwland:
</t>
        </r>
        <r>
          <rPr>
            <sz val="8"/>
            <color indexed="8"/>
            <rFont val="Comic Sans MS"/>
            <family val="4"/>
          </rPr>
          <t>Dual purpose hop. Populair de de combinatie van een redelijk hoog alfazuur gehalte met een goede aroma. Wegens zijn goede bewaareigenschappen een van de meest gebruikte hoppen bij hobbybrouwers. Zowel te gebruiken als bitterhopals aromahop met een licht kruidige toets.</t>
        </r>
      </text>
    </comment>
    <comment ref="B17" authorId="1" shapeId="0">
      <text>
        <r>
          <rPr>
            <i/>
            <sz val="8"/>
            <color indexed="8"/>
            <rFont val="Comic Sans MS"/>
            <family val="4"/>
          </rPr>
          <t>Brouwland:
Bitterhop met een aangenaam aroma en een fruitig karakter. Komt voort uit een kruising van de Amerikaanse Galena en een mannelijke Duitse variant. Grote en zware hopbellen, die een hoog alfazuurgehalte geven.</t>
        </r>
      </text>
    </comment>
    <comment ref="B18" authorId="1" shapeId="0">
      <text>
        <r>
          <rPr>
            <i/>
            <sz val="8"/>
            <color indexed="8"/>
            <rFont val="Comic Sans MS"/>
            <family val="4"/>
          </rPr>
          <t>Brouwland:
Universele hop, vooral gebruikt als bitterhop. Wordt veel in donkere bieren gebruikt alsook in Altbier en Kolsch.De hopbellen zijn van nature wat bruiner dan de andere soorten. Een van de belangrijkste varieteiten in het Hallertau gebied, waar het goede aroma's ontwikkelt in het zonnige klimaat.</t>
        </r>
      </text>
    </comment>
    <comment ref="B20" authorId="0" shapeId="0">
      <text>
        <r>
          <rPr>
            <i/>
            <sz val="8"/>
            <color indexed="81"/>
            <rFont val="Comic Sans MS"/>
            <family val="4"/>
          </rPr>
          <t>Brouwland:</t>
        </r>
        <r>
          <rPr>
            <sz val="8"/>
            <color indexed="81"/>
            <rFont val="Tahoma"/>
            <family val="2"/>
          </rPr>
          <t xml:space="preserve">
</t>
        </r>
        <r>
          <rPr>
            <sz val="8"/>
            <color indexed="81"/>
            <rFont val="Comic Sans MS"/>
            <family val="4"/>
          </rPr>
          <t>Een typisch aroma hop uit Tsjechie. Als onbetwiste koning van de pilsenerhop is Saaz de enige hop die gebruikt wordt in het oorspronkelijke pilsener van de wereld: Pilsner Urquell. Hij heeft een krachtig, kruidig aroma, delicaat en subtiel. Deze hop heeft een zuivere, verfijnde bitterheid.</t>
        </r>
      </text>
    </comment>
    <comment ref="B21" authorId="1" shapeId="0">
      <text>
        <r>
          <rPr>
            <i/>
            <sz val="8"/>
            <color indexed="8"/>
            <rFont val="Comic Sans MS"/>
            <family val="4"/>
          </rPr>
          <t xml:space="preserve">Brouwland:
</t>
        </r>
        <r>
          <rPr>
            <sz val="8"/>
            <color indexed="8"/>
            <rFont val="Comic Sans MS"/>
            <family val="4"/>
          </rPr>
          <t>Duitse aromahop in de klassieke stijl met een licht kruidig karakter, vergelijkbaar met Tettnanger en Saaz. Goed alternatief voor de Franse Spalt.</t>
        </r>
      </text>
    </comment>
    <comment ref="B22" authorId="1" shapeId="0">
      <text>
        <r>
          <rPr>
            <i/>
            <sz val="8"/>
            <color indexed="8"/>
            <rFont val="Comic Sans MS"/>
            <family val="4"/>
          </rPr>
          <t xml:space="preserve">Brouwland:
</t>
        </r>
        <r>
          <rPr>
            <sz val="8"/>
            <color indexed="8"/>
            <rFont val="Comic Sans MS"/>
            <family val="4"/>
          </rPr>
          <t>Wordt gebruikt als bitterhop in Belgische ales en als aromahop in Engelse ales.Een aangename hop met een grasachtig, bloemachtig karakter. Hoewel hij vergelijkbaar is met Fuggles heeft deze hopsoort zijn eigen karakteristieken. Het hoppige karakter komt goed tot uiting in goudkleurige ales met lage moutaroma's.</t>
        </r>
      </text>
    </comment>
    <comment ref="B23" authorId="1" shapeId="0">
      <text>
        <r>
          <rPr>
            <i/>
            <sz val="8"/>
            <color indexed="8"/>
            <rFont val="Comic Sans MS"/>
            <family val="4"/>
          </rPr>
          <t xml:space="preserve">Brouwland:
</t>
        </r>
        <r>
          <rPr>
            <sz val="8"/>
            <color indexed="8"/>
            <rFont val="Comic Sans MS"/>
            <family val="4"/>
          </rPr>
          <t>Een excellente "hoogalfa" -varieteit die veel bitterheid geeft voor een competitieve prijs. Dual purpose Engelse hopsoort.</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Zeer nobele Duitse aromahop, veel gebruikt bij lagerbieren. Heeft een mild, kruidig aroma en een fijne, delicate smaak. Weinig hopvelden, wat hem wegens de lage opbrengst soms duurder maakt.</t>
        </r>
      </text>
    </comment>
    <comment ref="B25" authorId="1" shapeId="0">
      <text>
        <r>
          <rPr>
            <i/>
            <sz val="8"/>
            <color indexed="8"/>
            <rFont val="Comic Sans MS"/>
            <family val="4"/>
          </rPr>
          <t xml:space="preserve">Brouwland:
</t>
        </r>
        <r>
          <rPr>
            <sz val="8"/>
            <color indexed="8"/>
            <rFont val="Comic Sans MS"/>
            <family val="4"/>
          </rPr>
          <t>Milde en aangename aromahop. Lichtkruidig karakte met een bloemig aroma. Een Amerikaanse hopsoortals antwoord op de bekende Engelse aromahoppen. Verwant met Fuggles. Op dit moment de meest geteelde Aromahop in de VS. Vernoemd naar de Willamettevallei in Oregon.</t>
        </r>
      </text>
    </comment>
    <comment ref="A28" authorId="0" shapeId="0">
      <text>
        <r>
          <rPr>
            <i/>
            <sz val="8"/>
            <color indexed="81"/>
            <rFont val="Comic Sans MS"/>
            <family val="4"/>
          </rPr>
          <t>LABO:
Deze hopsoorten zul je haast niet in onze winkels tegenkomen. Wil je bv een typisch Amerikaans recept gebruiken, kijk dan of je de hop via internet in Amerika kunt kopen of zoek een alrenatief via kolom E.</t>
        </r>
        <r>
          <rPr>
            <sz val="8"/>
            <color indexed="81"/>
            <rFont val="Tahoma"/>
            <family val="2"/>
          </rPr>
          <t xml:space="preserve">
</t>
        </r>
      </text>
    </comment>
    <comment ref="B90" authorId="0" shapeId="0">
      <text>
        <r>
          <rPr>
            <i/>
            <sz val="8"/>
            <color indexed="81"/>
            <rFont val="Tahoma"/>
            <family val="2"/>
          </rPr>
          <t>Brouwland:</t>
        </r>
        <r>
          <rPr>
            <b/>
            <sz val="8"/>
            <color indexed="81"/>
            <rFont val="Tahoma"/>
            <family val="2"/>
          </rPr>
          <t xml:space="preserve">
</t>
        </r>
        <r>
          <rPr>
            <sz val="8"/>
            <color indexed="81"/>
            <rFont val="Tahoma"/>
            <family val="2"/>
          </rPr>
          <t>Hopolie in bruistabletvorm met vele voordelen t.o.v. de gekende hopoliën: lange houdbaarheid, goede oplosbaarheid in bier, makkelijk te doseren. Laat toe om eenvoudig hoparoma aan het bier toe te voegen zonder de bitterheid te verhogen.
Ideaal voor drooghoppen. Geen risico van infecties.</t>
        </r>
        <r>
          <rPr>
            <sz val="8"/>
            <color indexed="81"/>
            <rFont val="Tahoma"/>
            <family val="2"/>
          </rPr>
          <t xml:space="preserve">
Indicatieve dosis: </t>
        </r>
        <r>
          <rPr>
            <b/>
            <sz val="8"/>
            <color indexed="81"/>
            <rFont val="Tahoma"/>
            <family val="2"/>
          </rPr>
          <t xml:space="preserve">0,5 tabl/50 l bier.
</t>
        </r>
        <r>
          <rPr>
            <sz val="8"/>
            <color indexed="81"/>
            <rFont val="Tahoma"/>
            <family val="2"/>
          </rPr>
          <t>Het bruisende tablet lost langzaam op in 2-3 dagen</t>
        </r>
      </text>
    </comment>
    <comment ref="B91" authorId="0" shapeId="0">
      <text>
        <r>
          <rPr>
            <i/>
            <sz val="8"/>
            <color indexed="81"/>
            <rFont val="Tahoma"/>
            <family val="2"/>
          </rPr>
          <t>Brouwland:</t>
        </r>
        <r>
          <rPr>
            <b/>
            <sz val="8"/>
            <color indexed="81"/>
            <rFont val="Tahoma"/>
            <family val="2"/>
          </rPr>
          <t xml:space="preserve">
Dient niet mee gekookt te worden. 
</t>
        </r>
        <r>
          <rPr>
            <sz val="8"/>
            <color indexed="81"/>
            <rFont val="Tahoma"/>
            <family val="2"/>
          </rPr>
          <t xml:space="preserve">Kan worden toegevoegd na de gisting.
</t>
        </r>
      </text>
    </comment>
  </commentList>
</comments>
</file>

<file path=xl/comments5.xml><?xml version="1.0" encoding="utf-8"?>
<comments xmlns="http://schemas.openxmlformats.org/spreadsheetml/2006/main">
  <authors>
    <author>Ser Vullings</author>
  </authors>
  <commentList>
    <comment ref="A2" authorId="0" shapeId="0">
      <text>
        <r>
          <rPr>
            <i/>
            <sz val="8"/>
            <color indexed="81"/>
            <rFont val="Tahoma"/>
            <family val="2"/>
          </rPr>
          <t>Ser Vullings:</t>
        </r>
        <r>
          <rPr>
            <b/>
            <sz val="8"/>
            <color indexed="81"/>
            <rFont val="Tahoma"/>
            <family val="2"/>
          </rPr>
          <t xml:space="preserve">
</t>
        </r>
        <r>
          <rPr>
            <i/>
            <sz val="8"/>
            <color indexed="81"/>
            <rFont val="Tahoma"/>
            <family val="2"/>
          </rPr>
          <t>Deze cel instellen als "standaard" en vullen met "0" (nul dus)</t>
        </r>
      </text>
    </comment>
    <comment ref="B2" authorId="0" shapeId="0">
      <text>
        <r>
          <rPr>
            <i/>
            <sz val="8"/>
            <color indexed="81"/>
            <rFont val="Tahoma"/>
            <family val="2"/>
          </rPr>
          <t>Ser Vullings:</t>
        </r>
        <r>
          <rPr>
            <b/>
            <sz val="8"/>
            <color indexed="81"/>
            <rFont val="Tahoma"/>
            <family val="2"/>
          </rPr>
          <t xml:space="preserve">
</t>
        </r>
        <r>
          <rPr>
            <sz val="8"/>
            <color indexed="81"/>
            <rFont val="Tahoma"/>
            <family val="2"/>
          </rPr>
          <t>Instellen als Standaard en vullen met een minteken "-"</t>
        </r>
      </text>
    </comment>
    <comment ref="B3" authorId="0" shapeId="0">
      <text>
        <r>
          <rPr>
            <i/>
            <sz val="8"/>
            <color indexed="81"/>
            <rFont val="Comic Sans MS"/>
            <family val="4"/>
          </rPr>
          <t xml:space="preserve">Brouwland:
</t>
        </r>
        <r>
          <rPr>
            <sz val="8"/>
            <color indexed="81"/>
            <rFont val="Comic Sans MS"/>
            <family val="4"/>
          </rPr>
          <t xml:space="preserve">De volgorde van toevoegen is erg belangrijk! Het ene kan namelijk de werking van het andere sterk beïnvloeden, ook in negatieve zin! 
</t>
        </r>
        <r>
          <rPr>
            <b/>
            <sz val="8"/>
            <color indexed="81"/>
            <rFont val="Comic Sans MS"/>
            <family val="4"/>
          </rPr>
          <t>Voedingszouten worden toegevoegd vóór de gist.</t>
        </r>
        <r>
          <rPr>
            <sz val="8"/>
            <color indexed="81"/>
            <rFont val="Tahoma"/>
            <family val="2"/>
          </rPr>
          <t xml:space="preserve">
</t>
        </r>
      </text>
    </comment>
    <comment ref="B4" authorId="0" shapeId="0">
      <text>
        <r>
          <rPr>
            <i/>
            <sz val="8"/>
            <color indexed="81"/>
            <rFont val="Comic Sans MS"/>
            <family val="4"/>
          </rPr>
          <t>Brouwland:</t>
        </r>
        <r>
          <rPr>
            <sz val="8"/>
            <color indexed="81"/>
            <rFont val="Tahoma"/>
            <family val="2"/>
          </rPr>
          <t xml:space="preserve">
Extract van de celwanden van de gistcellen. Een natuurprodukt dat de vermeerdering van de gisten en hun vergistingsvermogen verhoogt! Voordelen: snellere start, verhoogde alcoholopbrengst, lagere einddichtheid.
Dosis: 2-3g/10l. Toe te voegen VOOR het toevoegen van de gist.</t>
        </r>
      </text>
    </comment>
    <comment ref="B5" authorId="0" shapeId="0">
      <text>
        <r>
          <rPr>
            <i/>
            <sz val="8"/>
            <color indexed="81"/>
            <rFont val="Comic Sans MS"/>
            <family val="4"/>
          </rPr>
          <t>Brouwland:</t>
        </r>
        <r>
          <rPr>
            <sz val="8"/>
            <color indexed="81"/>
            <rFont val="Tahoma"/>
            <family val="2"/>
          </rPr>
          <t xml:space="preserve">
Een zorgvuldig samengesteld mengsel van vitaminen, mineralen, aminozuren, stikstofcomponenten, fosfaten en zink. Verhoogt de levensvatbaarheid van gistcellen, helpt een gezonde gistgroei, vermindert de "lagtime" (opstarttijd) van de gist, verbetert de vergisting en bevordert een hogere eindvergistingsgraad (dus lagere einddensiteit)
Dosis: 1g/10l. oplossen in een weinig heet water en toevoegen aan het wort.</t>
        </r>
      </text>
    </comment>
    <comment ref="B6" authorId="0" shapeId="0">
      <text>
        <r>
          <rPr>
            <i/>
            <sz val="8"/>
            <color indexed="81"/>
            <rFont val="Comic Sans MS"/>
            <family val="4"/>
          </rPr>
          <t>Brouwland:</t>
        </r>
        <r>
          <rPr>
            <sz val="8"/>
            <color indexed="81"/>
            <rFont val="Tahoma"/>
            <family val="2"/>
          </rPr>
          <t xml:space="preserve">
Speciaal mengsel van gistvoedingszouten, vitaminen (oa B1), mineralen en sporen-elementen, in een ideale verhouding. Ideaal voor een vlotte vergisting van alle bieren. Is zeker noodzakelijk voor alle probleemgistingen.
Dosis: 5-10g/10l.</t>
        </r>
      </text>
    </comment>
    <comment ref="B8" authorId="0" shapeId="0">
      <text>
        <r>
          <rPr>
            <i/>
            <sz val="8"/>
            <color indexed="81"/>
            <rFont val="Comic Sans MS"/>
            <family val="4"/>
          </rPr>
          <t>De brouwer:</t>
        </r>
        <r>
          <rPr>
            <sz val="8"/>
            <color indexed="81"/>
            <rFont val="Tahoma"/>
            <family val="2"/>
          </rPr>
          <t xml:space="preserve">
</t>
        </r>
        <r>
          <rPr>
            <sz val="8"/>
            <color indexed="81"/>
            <rFont val="Comic Sans MS"/>
            <family val="4"/>
          </rPr>
          <t>Korrelgist werkt het beste als deze 10 minuten welt in lauwwarm water van maximaal 35°C voordat deze aan de wort wordt toegevoegd.
Beter resultaat als een giststarter wordt aangemaakt
Koel en droog (koelkast) bewaren</t>
        </r>
      </text>
    </comment>
    <comment ref="B9" authorId="0" shapeId="0">
      <text>
        <r>
          <rPr>
            <i/>
            <sz val="8"/>
            <color indexed="81"/>
            <rFont val="Comic Sans MS"/>
            <family val="4"/>
          </rPr>
          <t>Brouwland:</t>
        </r>
        <r>
          <rPr>
            <sz val="8"/>
            <color indexed="81"/>
            <rFont val="Tahoma"/>
            <family val="2"/>
          </rPr>
          <t xml:space="preserve">
Snelle vergisting met weinig restsuiker. Vorming van fruitige esters. Sedimentatie: middelmatig to  hoog. Einddensiteit: laag. Gistingstemperatuur: 18-25°C.
Gebruiksdosis is afhankelijk van de begindensiteit. 1050: 5g/10l. 1080: 8g/10l.</t>
        </r>
      </text>
    </comment>
    <comment ref="B10" authorId="0" shapeId="0">
      <text>
        <r>
          <rPr>
            <i/>
            <sz val="8"/>
            <color indexed="81"/>
            <rFont val="Comic Sans MS"/>
            <family val="4"/>
          </rPr>
          <t>Brouwland:</t>
        </r>
        <r>
          <rPr>
            <sz val="8"/>
            <color indexed="81"/>
            <rFont val="Tahoma"/>
            <family val="2"/>
          </rPr>
          <t xml:space="preserve">
Bovengist. Speciaal inzetbaar bij witbieren met vorming van vele kruidige aroma's. Sedimentatier: laag. Einddensiteit: laag. Gistingstemperatuur: 18-24°C
Gebruiksdosis: 5-8g/10l.</t>
        </r>
      </text>
    </comment>
    <comment ref="B11" authorId="0" shapeId="0">
      <text>
        <r>
          <rPr>
            <i/>
            <sz val="8"/>
            <color indexed="81"/>
            <rFont val="Comic Sans MS"/>
            <family val="4"/>
          </rPr>
          <t>Brouwland:</t>
        </r>
        <r>
          <rPr>
            <sz val="8"/>
            <color indexed="81"/>
            <rFont val="Tahoma"/>
            <family val="2"/>
          </rPr>
          <t xml:space="preserve">
Bovengist voor een zekere vergisting en constante werking. Ook goed voor hergisting in de fles. Zeer geliefde gist voor alle doeleinden. Robuust voor een uitstekend aroma. Geschikt voor speciale bieren, witbieren, abdijbieren,…… Sedimentatie: middelmatig. Einddensiteit: hoog. Gistingstemperatuur: 15-24°C. Gebruiksdosis: 5-8g/10l. Kan ook gebruikt worden voor hergisting in de fles: 0,25-0,5g/10l.</t>
        </r>
      </text>
    </comment>
    <comment ref="B12" authorId="0" shapeId="0">
      <text>
        <r>
          <rPr>
            <i/>
            <sz val="8"/>
            <color indexed="81"/>
            <rFont val="Comic Sans MS"/>
            <family val="4"/>
          </rPr>
          <t>Brouwland:</t>
        </r>
        <r>
          <rPr>
            <sz val="8"/>
            <color indexed="81"/>
            <rFont val="Tahoma"/>
            <family val="2"/>
          </rPr>
          <t xml:space="preserve">
Amerikaanse gist voor evenwichtige bieren met weinig diacetyl en een zuivere, frisse afdronk. Lage tot middelmatige sedimentatie. Middelmatige einddichtheid. Gistingstemperatuur: 15-24°C. Gebruiksdosis: 5-8g/10l.</t>
        </r>
      </text>
    </comment>
    <comment ref="B13" authorId="0" shapeId="0">
      <text>
        <r>
          <rPr>
            <i/>
            <sz val="8"/>
            <color indexed="81"/>
            <rFont val="Comic Sans MS"/>
            <family val="4"/>
          </rPr>
          <t>Brouwland:</t>
        </r>
        <r>
          <rPr>
            <sz val="8"/>
            <color indexed="81"/>
            <rFont val="Tahoma"/>
            <family val="2"/>
          </rPr>
          <t xml:space="preserve">
Duitse, meest gebruikte gist voor het brouwen van lagerbieren. Hoge sedimentatie, middelmatige einddichtheid. Gistingstemperatuur: 10-14°C.
Gebruiksdosis: 8-12g/10l.</t>
        </r>
      </text>
    </comment>
    <comment ref="B14" authorId="0" shapeId="0">
      <text>
        <r>
          <rPr>
            <i/>
            <sz val="8"/>
            <color indexed="81"/>
            <rFont val="Comic Sans MS"/>
            <family val="4"/>
          </rPr>
          <t>Brouwland:</t>
        </r>
        <r>
          <rPr>
            <sz val="8"/>
            <color indexed="81"/>
            <rFont val="Tahoma"/>
            <family val="2"/>
          </rPr>
          <t xml:space="preserve">
Bovengist die meer esters produceert en een kruidiger aroma geeft. Goede sedimentatie, hoge einddichtheid. 
Gistingstemperatuur: 18-24°C.
Gebruiksdosis: 5-8g/10l.</t>
        </r>
      </text>
    </comment>
    <comment ref="B15" authorId="0" shapeId="0">
      <text>
        <r>
          <rPr>
            <i/>
            <sz val="8"/>
            <color indexed="81"/>
            <rFont val="Comic Sans MS"/>
            <family val="4"/>
          </rPr>
          <t>Brouwland:</t>
        </r>
        <r>
          <rPr>
            <sz val="8"/>
            <color indexed="81"/>
            <rFont val="Tahoma"/>
            <family val="2"/>
          </rPr>
          <t xml:space="preserve">
Speciaal geselecteerde gist voor tarwebieren. Produceert subtieleesterige en fenolische smaken typisch voor tarwebier.
Sedimentatie: laag. Eindensiteit: hoog
Gistingstemperatuur: 15-24°C.
Gebruiksdosis: 5-8g/10l.</t>
        </r>
      </text>
    </comment>
    <comment ref="B16" authorId="0" shapeId="0">
      <text>
        <r>
          <rPr>
            <i/>
            <sz val="8"/>
            <color indexed="81"/>
            <rFont val="Comic Sans MS"/>
            <family val="4"/>
          </rPr>
          <t>Brouwland:</t>
        </r>
        <r>
          <rPr>
            <sz val="8"/>
            <color indexed="81"/>
            <rFont val="Tahoma"/>
            <family val="2"/>
          </rPr>
          <t xml:space="preserve">
De eerste Saccharomyces Carlbergensis in gedroogde vorm voor echte pils-type bieren. Zeer goede sedimentatie eigenschappen. Ook geschikt voor sterkere bieren tot 22° Plato. Levert fruitige en esterrijke pilsbieren.
Gistingstemperatuur: 10-14°C.
Gebruiksdosis: 8-12g/10l.</t>
        </r>
      </text>
    </comment>
    <comment ref="B17" authorId="0" shapeId="0">
      <text>
        <r>
          <rPr>
            <i/>
            <sz val="8"/>
            <color indexed="81"/>
            <rFont val="Comic Sans MS"/>
            <family val="4"/>
          </rPr>
          <t>Brouwland:</t>
        </r>
        <r>
          <rPr>
            <sz val="8"/>
            <color indexed="81"/>
            <rFont val="Tahoma"/>
            <family val="2"/>
          </rPr>
          <t xml:space="preserve">
Universele bovengist. Gist met zeer goede sedimentatie-eigenschappen. Zorgt voor een snelle vergisting en een lage eindvergistingsgraad (1008-1012 SG= 2-3° Plato)
Gistingstemperatuur: 18-24°C.
Gebruiksdosis: 5-8g/10l.</t>
        </r>
      </text>
    </comment>
    <comment ref="B18" authorId="0" shapeId="0">
      <text>
        <r>
          <rPr>
            <i/>
            <sz val="8"/>
            <color indexed="81"/>
            <rFont val="Comic Sans MS"/>
            <family val="4"/>
          </rPr>
          <t>Brouwland:</t>
        </r>
        <r>
          <rPr>
            <sz val="8"/>
            <color indexed="81"/>
            <rFont val="Tahoma"/>
            <family val="2"/>
          </rPr>
          <t xml:space="preserve">
Duitse bovengist met matige sedimentatie en matige eindvergistingsgraad. Geeft tijdens het vergisten een compacte gisthoed bovenaan. Onde meer gebruikt voor tarwebieren, witbieren, …… 
Gistingstemperatuur: 18-24°C.
Gebruiksdosis: 5-8g/10l.</t>
        </r>
      </text>
    </comment>
    <comment ref="B19" authorId="0" shapeId="0">
      <text>
        <r>
          <rPr>
            <i/>
            <sz val="8"/>
            <color indexed="81"/>
            <rFont val="Comic Sans MS"/>
            <family val="4"/>
          </rPr>
          <t>Brouwland:</t>
        </r>
        <r>
          <rPr>
            <sz val="8"/>
            <color indexed="81"/>
            <rFont val="Tahoma"/>
            <family val="2"/>
          </rPr>
          <t xml:space="preserve">
Saccharomyces Carsbergensis van een Zwitserse brouwerij. Produceert neutrale pils-type bieren. Seer goede sedimentatie eigenschappen. Matige einddichtheid.
Gistingstemperatuur: 10-14°C.
Gebruiksdosis: 8-12g/10l.</t>
        </r>
      </text>
    </comment>
    <comment ref="B20" authorId="0" shapeId="0">
      <text>
        <r>
          <rPr>
            <i/>
            <sz val="8"/>
            <color indexed="81"/>
            <rFont val="Comic Sans MS"/>
            <family val="4"/>
          </rPr>
          <t>Brouwland:</t>
        </r>
        <r>
          <rPr>
            <sz val="8"/>
            <color indexed="81"/>
            <rFont val="Tahoma"/>
            <family val="2"/>
          </rPr>
          <t xml:space="preserve">
Ondergist voor een neutrale vergisting met vorming van weinig of geen zwavelcomponenten. 
Sedimentatie : hoog 
Einddensiteit : middelmatig 
Gistingstemperatuur : 10 - 15°C 
Gebruiksdosis : 3 - 6 g / 10 l 
</t>
        </r>
      </text>
    </comment>
    <comment ref="B21" authorId="0" shapeId="0">
      <text>
        <r>
          <rPr>
            <i/>
            <sz val="8"/>
            <color indexed="81"/>
            <rFont val="Tahoma"/>
            <family val="2"/>
          </rPr>
          <t>Ser Vullings:</t>
        </r>
        <r>
          <rPr>
            <b/>
            <sz val="8"/>
            <color indexed="81"/>
            <rFont val="Tahoma"/>
            <family val="2"/>
          </rPr>
          <t xml:space="preserve">
</t>
        </r>
        <r>
          <rPr>
            <sz val="8"/>
            <color indexed="81"/>
            <rFont val="Tahoma"/>
            <family val="2"/>
          </rPr>
          <t xml:space="preserve">
•Geclassificeerd als Saccharomyces Cerevisiae.
•Bovengistend bij temperaturen: 14-21°C
 Ondergistend bij lagere temperaturen: tot 12°C
•Veelzijdig inzetbaar voor Mild Ale, Golden Ale, Blond Ale, Bitter, Pilsner, Vienna, Pale Ale, Amber Ale, Red Ale, ESB, IPA, Altbier,Strong Ale, Barleywine, American Style Brown Ale, Dry Stout, Imperial Stout, Lager, Schwartzbier
•Hoge vergistingsgraad; kan een finaal soortelijk gewicht van 1008 bereiken (2°P).
•Snelle start en een krachtige gisting die in 4 dagen boven 17°C voltooid kan zijn.
•In hoge mate flocculent (uitvlokking).
•Nottingham heeft een hoge alcohol tolerantie, waardoor deze ook geschikt is voor bieren met meer alcohol.
Lage concentratie van fruitigheid en esterige aroma's. Vrij neutrale smaak. Geeft geen onaangename geuren.</t>
        </r>
      </text>
    </comment>
    <comment ref="B22" authorId="0" shapeId="0">
      <text>
        <r>
          <rPr>
            <i/>
            <sz val="8"/>
            <color indexed="81"/>
            <rFont val="Tahoma"/>
            <family val="2"/>
          </rPr>
          <t>Ser Vullings:</t>
        </r>
        <r>
          <rPr>
            <sz val="8"/>
            <color indexed="81"/>
            <rFont val="Tahoma"/>
            <family val="2"/>
          </rPr>
          <t xml:space="preserve">
•Geclassificeerd als Saccharomyces Cerevisiae.
•Bovengistend bij temperaturen: 15-22°C
•Veelzijdig inzetbaar voor Zware en fruitige Britse Ales met volle body. Mild Ale, Cream Ale, American-Style Hefeweizen, American-Style Wheat Ale, English-Style Pale Ale, Amber Ale, Red Ale, Scottisch-Style Ale, Strong Scotch Ale, English-Style Brown Ale, Porter, Sweet Stout, Cream Stout 
•Gemiddelde vergistingsgraad die een relatief hoge eindwaarde voor soortelijk gewicht bereikt.
•Snelle start en een krachtige gisting die in 3 dagen boven 17°C voltooid kan zijn (Quick Start).
•Niet flocculerende (uitvlokking) stam; maar klaring kan bevorderd worden.
•Wordt veelal gebruikt voor de productie van sterk smakend bitter bier, stout, Weizen en Hefeweizen.
Het aroma geeft een iets esterige geur en een licht frisse en fruitige smaak. Geeft geen onaangename geuren.</t>
        </r>
      </text>
    </comment>
    <comment ref="B23" authorId="0" shapeId="0">
      <text>
        <r>
          <rPr>
            <i/>
            <sz val="8"/>
            <color indexed="81"/>
            <rFont val="Tahoma"/>
            <family val="2"/>
          </rPr>
          <t>Ser Vullings:</t>
        </r>
        <r>
          <rPr>
            <b/>
            <sz val="8"/>
            <color indexed="81"/>
            <rFont val="Tahoma"/>
            <family val="2"/>
          </rPr>
          <t xml:space="preserve">
</t>
        </r>
        <r>
          <rPr>
            <sz val="8"/>
            <color indexed="81"/>
            <rFont val="Tahoma"/>
            <family val="2"/>
          </rPr>
          <t>•Geclassificeerd als Saccharomyces Cerevisiae.
•Bovengistend bij temperaturen: 17-22°C
•Inzetbaar voor Tarwebier, Wit bier, Weizen, Hefeweizen, Dunkelweizen, Weizenbock,            American-Style Hefeweizen
•Gemiddelde tot hoge vergistingsgraad.
•Snelle start en een krachtige gisting die in 4 dagen boven 17°C voltooid kan zijn (Quick Start).
•Munich is een niet flocculerende stam (geen uitvlokking).</t>
        </r>
        <r>
          <rPr>
            <b/>
            <sz val="8"/>
            <color indexed="81"/>
            <rFont val="Tahoma"/>
            <family val="2"/>
          </rPr>
          <t xml:space="preserve">
</t>
        </r>
        <r>
          <rPr>
            <sz val="8"/>
            <color indexed="81"/>
            <rFont val="Tahoma"/>
            <family val="2"/>
          </rPr>
          <t>Het aroma geeft een esterachtige geur- en smaakindruk met een vleugje banaan. Geeft geen onaangename geuren.</t>
        </r>
        <r>
          <rPr>
            <b/>
            <sz val="8"/>
            <color indexed="81"/>
            <rFont val="Tahoma"/>
            <family val="2"/>
          </rPr>
          <t xml:space="preserve">
</t>
        </r>
      </text>
    </comment>
    <comment ref="B24" authorId="0" shapeId="0">
      <text>
        <r>
          <rPr>
            <i/>
            <sz val="8"/>
            <color indexed="81"/>
            <rFont val="Tahoma"/>
            <family val="2"/>
          </rPr>
          <t>Ser Vullings:</t>
        </r>
        <r>
          <rPr>
            <sz val="8"/>
            <color indexed="81"/>
            <rFont val="Tahoma"/>
            <family val="2"/>
          </rPr>
          <t xml:space="preserve">
•Geclassificeerd als Saccharomyces Cerevisiae.
•Inzetbaar voor de gisting en het hergisten van alle type bier speciaal met een hoog alcohol percentage (tot 12%). Ook voor fruitbier en Champagne-achtige bieren..
•Snelle starter die gebruikt kan worden voor de gisting / hergisting van bieren met alcoholpercentage tot 12%.
•Gisting kan worden afgerond in 3 dagen bij 20°C.
•Hergisting (100%) kan worden voltooid binnen 14 dagen bij 15-25°C.
•Vertoont uitvlokking en sedimentatie aan het eind van de hergistinsperiode.
•Heeft geen invloed op de smaak van het oorspronkelijke bier dat hergist moet worden.
Neutrale smaak en aroma. CBC-1 laat enkel een resterende zoetheid achter in het bier omdat er geen maltotriose wordt gebruikt
</t>
        </r>
      </text>
    </comment>
    <comment ref="B25" authorId="0" shapeId="0">
      <text>
        <r>
          <rPr>
            <i/>
            <sz val="8"/>
            <color indexed="81"/>
            <rFont val="Tahoma"/>
            <family val="2"/>
          </rPr>
          <t>Ser Vullings:</t>
        </r>
        <r>
          <rPr>
            <sz val="8"/>
            <color indexed="81"/>
            <rFont val="Tahoma"/>
            <family val="2"/>
          </rPr>
          <t xml:space="preserve">
•Geclassificeerd als Saccharomyces Cerevisiae.
•Bovengistende gistvorm voor verschillende soorten lagerbier
•Snelle start en krachtige gisting die in 4 dagen boven 17°C voltooid kan zijn.
•Gemiddelde tot hoge vergistingsgraad. 
•Flocculerende stam (uitvlokking); de klaring kan bevorderd worden.
•Kan het beste gebruikt worden bij traditionele lagertemperaturen na rehydratie op de aanbevolen wijze.
Het aroma is licht esterachtig, vrijwel neutraal en geeft geen onaangename geuren. BRY-97 kan door de uitvlokking de bitterheid van de hop enigzins reduceren.</t>
        </r>
      </text>
    </comment>
    <comment ref="B26" authorId="0" shapeId="0">
      <text>
        <r>
          <rPr>
            <i/>
            <sz val="8"/>
            <color indexed="81"/>
            <rFont val="Tahoma"/>
            <family val="2"/>
          </rPr>
          <t>Brouwland:</t>
        </r>
        <r>
          <rPr>
            <sz val="8"/>
            <color indexed="81"/>
            <rFont val="Tahoma"/>
            <family val="2"/>
          </rPr>
          <t xml:space="preserve">
Bovengist (English Ale  Y 514). 
Vergistingstemperatuur: 17° – 30°C. 
Wort aan 10 – 11°P gemakkelijk vergist tot 2°P. 
Alcoholtolerantie tot 9,5 vol%. 
Vrij goede sedimentatie zelfs bij temperaturen van 20° - 30°C. 
Dosis: 25 – 50 g per 1 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
</t>
        </r>
      </text>
    </comment>
    <comment ref="B27" authorId="0" shapeId="0">
      <text>
        <r>
          <rPr>
            <i/>
            <sz val="8"/>
            <color indexed="81"/>
            <rFont val="Tahoma"/>
            <family val="2"/>
          </rPr>
          <t xml:space="preserve">Brouwland:
</t>
        </r>
        <r>
          <rPr>
            <sz val="8"/>
            <color indexed="81"/>
            <rFont val="Tahoma"/>
            <family val="2"/>
          </rPr>
          <t>Lagergist (Y 497). Deze gistsoort heeft weinig zuurstof nodig tijdens de gisting. Vergisting zonder schuimvorming. Vergistingstemperatur: 15° - 30°C. Het bier wordt goed helder op een natuurlijke manier en de gist vormt een compact sediment. 
Dosis: 25 – 50 g per 1hl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t>
        </r>
      </text>
    </comment>
    <comment ref="B28" authorId="0" shapeId="0">
      <text>
        <r>
          <rPr>
            <i/>
            <sz val="8"/>
            <color indexed="81"/>
            <rFont val="Tahoma"/>
            <family val="2"/>
          </rPr>
          <t>Brouwland:</t>
        </r>
        <r>
          <rPr>
            <sz val="8"/>
            <color indexed="81"/>
            <rFont val="Tahoma"/>
            <family val="2"/>
          </rPr>
          <t xml:space="preserve">
Voor tarwebieren. Vorming van veel aroma’s tijdens de gisting (esters, hogere alcoholen). Vergistingstemperatuur: 15-30°C. Heeft nood aan hoge dosis stikstof. Indien nodig gistvoeding toevoegen. Goede sedimentatie bij lage temperaturen. 
Dosis: 50-80 g per hl.</t>
        </r>
      </text>
    </comment>
    <comment ref="B32" authorId="0" shapeId="0">
      <text>
        <r>
          <rPr>
            <i/>
            <sz val="8"/>
            <color indexed="81"/>
            <rFont val="Comic Sans MS"/>
            <family val="4"/>
          </rPr>
          <t xml:space="preserve">Brouwland:
</t>
        </r>
        <r>
          <rPr>
            <sz val="8"/>
            <color indexed="81"/>
            <rFont val="Comic Sans MS"/>
            <family val="4"/>
          </rPr>
          <t>Waarom vloeibare biergisten?
Alle bierbrouwers zijn hert over een ding roerend eens: de gist heeft een zeer grote invloed op de uiteindelijke smaak van uw bier. De kwaliteit van uw zelfgebrouwen bier gaat, door vloeibare gisten te gebruiken, met grote sprongen vooruit.</t>
        </r>
        <r>
          <rPr>
            <i/>
            <sz val="8"/>
            <color indexed="81"/>
            <rFont val="Comic Sans MS"/>
            <family val="4"/>
          </rPr>
          <t xml:space="preserve">
</t>
        </r>
        <r>
          <rPr>
            <b/>
            <sz val="8"/>
            <color indexed="81"/>
            <rFont val="Comic Sans MS"/>
            <family val="4"/>
          </rPr>
          <t xml:space="preserve">ALE-gisten
</t>
        </r>
        <r>
          <rPr>
            <sz val="8"/>
            <color indexed="81"/>
            <rFont val="Comic Sans MS"/>
            <family val="4"/>
          </rPr>
          <t>ALE-gisten zijn rijk en karaktervol met een fruitig aroma en smaak. Elke soort heeft zijn specifieke, unieke eigenschappen, die benadrukt of geminimaliseerd kunnen worden, nagelang het gebruikte recept en vergistingstemperatuur.</t>
        </r>
        <r>
          <rPr>
            <sz val="8"/>
            <color indexed="81"/>
            <rFont val="Tahoma"/>
            <family val="2"/>
          </rPr>
          <t xml:space="preserve">
</t>
        </r>
      </text>
    </comment>
    <comment ref="B33" authorId="0" shapeId="0">
      <text>
        <r>
          <rPr>
            <i/>
            <sz val="8"/>
            <color indexed="81"/>
            <rFont val="Comic Sans MS"/>
            <family val="4"/>
          </rPr>
          <t>Brouwland:</t>
        </r>
        <r>
          <rPr>
            <sz val="8"/>
            <color indexed="81"/>
            <rFont val="Tahoma"/>
            <family val="2"/>
          </rPr>
          <t xml:space="preserve">
Droog en verfrissend met een complexe doch zachte smaak. Uw bier krijgt een zeer stevige schuimkraag. Goede vergisting zelfs op 13°C. Lage uitvlokking. 
Vergistingstemperatuur: 13-20°C
Vergistingsgraad 73-77%.</t>
        </r>
      </text>
    </comment>
    <comment ref="B34" authorId="0" shapeId="0">
      <text>
        <r>
          <rPr>
            <i/>
            <sz val="8"/>
            <color indexed="81"/>
            <rFont val="Comic Sans MS"/>
            <family val="4"/>
          </rPr>
          <t>Brouwland:</t>
        </r>
        <r>
          <rPr>
            <sz val="8"/>
            <color indexed="81"/>
            <rFont val="Tahoma"/>
            <family val="2"/>
          </rPr>
          <t xml:space="preserve">
Rijk met een droge afdronk. Een stevig, karaktervol bier. Dorstlessend met iets fruitigheid. Middelmatige uitvlokking.
Vergistingstemperatuur: 15-22°C
Vergistingsgraad 73-77%.</t>
        </r>
      </text>
    </comment>
    <comment ref="B35" authorId="0" shapeId="0">
      <text>
        <r>
          <rPr>
            <i/>
            <sz val="8"/>
            <color indexed="81"/>
            <rFont val="Comic Sans MS"/>
            <family val="4"/>
          </rPr>
          <t>Brouwland:</t>
        </r>
        <r>
          <rPr>
            <sz val="8"/>
            <color indexed="81"/>
            <rFont val="Tahoma"/>
            <family val="2"/>
          </rPr>
          <t xml:space="preserve">
Dikwijls door commerciële brouwers gebruikt voor verschillende American Ales. Voor een droog bier met een zachte afdronk, aangenaam zacht,zuiver en zeer evenwichtig. Lage tot middelmatige uitvlokking.
Vergistingstemperatuur: 15-22°C
Vergistingsgraad 73-77%.</t>
        </r>
      </text>
    </comment>
    <comment ref="B36" authorId="0" shapeId="0">
      <text>
        <r>
          <rPr>
            <i/>
            <sz val="8"/>
            <color indexed="81"/>
            <rFont val="Comic Sans MS"/>
            <family val="4"/>
          </rPr>
          <t>Brouwland:</t>
        </r>
        <r>
          <rPr>
            <sz val="8"/>
            <color indexed="81"/>
            <rFont val="Tahoma"/>
            <family val="2"/>
          </rPr>
          <t xml:space="preserve">
Licht moutig en fruitig, uitstekend vor stouts. Zuiver, aangenaam zacht en karaktervol. Middelmatige uitvlokking.
Vergistingstemperatuur: 16-22°C
Vergistingsgraad 71-75%.</t>
        </r>
      </text>
    </comment>
    <comment ref="B37" authorId="0" shapeId="0">
      <text>
        <r>
          <rPr>
            <i/>
            <sz val="8"/>
            <color indexed="81"/>
            <rFont val="Comic Sans MS"/>
            <family val="4"/>
          </rPr>
          <t>Brouwland:</t>
        </r>
        <r>
          <rPr>
            <sz val="8"/>
            <color indexed="81"/>
            <rFont val="Tahoma"/>
            <family val="2"/>
          </rPr>
          <t xml:space="preserve">
</t>
        </r>
      </text>
    </comment>
    <comment ref="B38" authorId="0" shapeId="0">
      <text>
        <r>
          <rPr>
            <i/>
            <sz val="8"/>
            <color indexed="81"/>
            <rFont val="Comic Sans MS"/>
            <family val="4"/>
          </rPr>
          <t>Brouwland:</t>
        </r>
        <r>
          <rPr>
            <sz val="8"/>
            <color indexed="81"/>
            <rFont val="Tahoma"/>
            <family val="2"/>
          </rPr>
          <t xml:space="preserve">
Voor een droog, verfrissend bier. Lichtzinnig, fruitig en zeer evenwichtig. Goede vergisting op 19°C. Middelmatige uitvlokking.
Vergistingstemperatuur: 18-22°C
Vergistingsgraad 73-75%.</t>
        </r>
      </text>
    </comment>
    <comment ref="B39" authorId="0" shapeId="0">
      <text>
        <r>
          <rPr>
            <i/>
            <sz val="8"/>
            <color indexed="81"/>
            <rFont val="Comic Sans MS"/>
            <family val="4"/>
          </rPr>
          <t>Brouwland:</t>
        </r>
        <r>
          <rPr>
            <sz val="8"/>
            <color indexed="81"/>
            <rFont val="Tahoma"/>
            <family val="2"/>
          </rPr>
          <t xml:space="preserve">
Een zacht moutig, lichtfruitig vergistingsprofiel. Minder zurig en droog dan 1098. Mooie klaring zonder filtratie. Hoge uitvlokking.
Vergistingstemperatuur: 18-24°C
Vergistingsgraad 68-72%.</t>
        </r>
      </text>
    </comment>
    <comment ref="B40" authorId="0" shapeId="0">
      <text>
        <r>
          <rPr>
            <i/>
            <sz val="8"/>
            <color indexed="81"/>
            <rFont val="Comic Sans MS"/>
            <family val="4"/>
          </rPr>
          <t>Brouwland:</t>
        </r>
        <r>
          <rPr>
            <sz val="8"/>
            <color indexed="81"/>
            <rFont val="Tahoma"/>
            <family val="2"/>
          </rPr>
          <t xml:space="preserve">
Bekende gist van europese oorsprong met unieke vergisting en smaakeigenschappen. Duidelijk waarneembare fruitesters en een hoge uitvlokkingzorgen voor moutig complex profiel dat uitstekend klaart. Uitgebreide diacetylrust na einde vergisting is aangeraden. Hoge uitvlokking.
Vergistingstemperatuur: 18-23°C
Vergistingsgraad 68-72%.</t>
        </r>
      </text>
    </comment>
    <comment ref="B41" authorId="0" shapeId="0">
      <text>
        <r>
          <rPr>
            <i/>
            <sz val="8"/>
            <color indexed="81"/>
            <rFont val="Comic Sans MS"/>
            <family val="4"/>
          </rPr>
          <t>Brouwland:</t>
        </r>
        <r>
          <rPr>
            <sz val="8"/>
            <color indexed="81"/>
            <rFont val="Tahoma"/>
            <family val="2"/>
          </rPr>
          <t xml:space="preserve">
Fruitiger en vlokt meer uit dan 1056. Lichtjes noorachtig, lichtjes zurige afdronk. Hoge uitvlokking.
Vergistingstemperatuur: 16-22°C
Vergistingsgraad 72-76%.</t>
        </r>
      </text>
    </comment>
    <comment ref="B42" authorId="0" shapeId="0">
      <text>
        <r>
          <rPr>
            <i/>
            <sz val="8"/>
            <color indexed="81"/>
            <rFont val="Comic Sans MS"/>
            <family val="4"/>
          </rPr>
          <t>Brouwland:</t>
        </r>
        <r>
          <rPr>
            <sz val="8"/>
            <color indexed="81"/>
            <rFont val="Tahoma"/>
            <family val="2"/>
          </rPr>
          <t xml:space="preserve">
Voor het brouwen van Brits bitters. Rijk en complex smaakprofiel. Zuiver, moutig karakte. Lichte fruitigheid, laag in esters, goed evenwichtig. Middelmatige uitvlokking.
Vergistingstemperatuur: 16-22°C
Vergistingsgraad 72-76%.</t>
        </r>
      </text>
    </comment>
    <comment ref="B43" authorId="0" shapeId="0">
      <text>
        <r>
          <rPr>
            <i/>
            <sz val="8"/>
            <color indexed="81"/>
            <rFont val="Comic Sans MS"/>
            <family val="4"/>
          </rPr>
          <t>Brouwland:</t>
        </r>
        <r>
          <rPr>
            <sz val="8"/>
            <color indexed="81"/>
            <rFont val="Tahoma"/>
            <family val="2"/>
          </rPr>
          <t xml:space="preserve">
Van een traditionele Londense brouwerij, met een goed mout- en hopprofiel. Echte bovengist. Fruitig, zeer licht, zacht en evenwichtig palet met een lichtzoetige afdronk. Hoge uitvlokking.
Vergistingstemperatuur: 18-23°C
Vergistingsgraad 71-75%.</t>
        </r>
      </text>
    </comment>
    <comment ref="B44" authorId="0" shapeId="0">
      <text>
        <r>
          <rPr>
            <i/>
            <sz val="8"/>
            <color indexed="81"/>
            <rFont val="Comic Sans MS"/>
            <family val="4"/>
          </rPr>
          <t>Brouwland:</t>
        </r>
        <r>
          <rPr>
            <sz val="8"/>
            <color indexed="81"/>
            <rFont val="Tahoma"/>
            <family val="2"/>
          </rPr>
          <t xml:space="preserve">
Vergistingprofiel typisch voor Britse en Canadese ales. Moutige smaakeigenschappen, verfrissende afdronk. Zuiver en vrij droog. Hoge uitvlokking. 
Vergistingstemperatuur: 17-24°C
Vergistingsgraad 73-76%.</t>
        </r>
      </text>
    </comment>
    <comment ref="B45" authorId="0" shapeId="0">
      <text>
        <r>
          <rPr>
            <i/>
            <sz val="8"/>
            <color indexed="81"/>
            <rFont val="Comic Sans MS"/>
            <family val="4"/>
          </rPr>
          <t>Brouwland:</t>
        </r>
        <r>
          <rPr>
            <sz val="8"/>
            <color indexed="81"/>
            <rFont val="Tahoma"/>
            <family val="2"/>
          </rPr>
          <t xml:space="preserve">
Van wissenschaftliche in München. Krachtige en complexe giststam met een zeer moutige afdronk. Produceert dicht en stevig schuim gedurende de gisting. Hoge uitvlokking.
Vergistingstemperatuur: 16-22°C
Vergistingsgraad 67-71%.</t>
        </r>
      </text>
    </comment>
    <comment ref="B46" authorId="0" shapeId="0">
      <text>
        <r>
          <rPr>
            <i/>
            <sz val="8"/>
            <color indexed="81"/>
            <rFont val="Comic Sans MS"/>
            <family val="4"/>
          </rPr>
          <t>Brouwland:</t>
        </r>
        <r>
          <rPr>
            <sz val="8"/>
            <color indexed="81"/>
            <rFont val="Tahoma"/>
            <family val="2"/>
          </rPr>
          <t xml:space="preserve">
Ideale gist voor Schotse ales evenals alle ales met hoge densiteit. Hoge uitvlokking
Vergistingstemperatuur: 13-24°C
Vergistingsgraad 69-73%.</t>
        </r>
      </text>
    </comment>
    <comment ref="B47" authorId="0" shapeId="0">
      <text>
        <r>
          <rPr>
            <i/>
            <sz val="8"/>
            <color indexed="81"/>
            <rFont val="Comic Sans MS"/>
            <family val="4"/>
          </rPr>
          <t>Brouwland:</t>
        </r>
        <r>
          <rPr>
            <sz val="8"/>
            <color indexed="81"/>
            <rFont val="Tahoma"/>
            <family val="2"/>
          </rPr>
          <t xml:space="preserve">
Bovengist met een rijk en moutig karakter en een evenwichtige fruitigheid. Deze giststam vlokt zo hoog uit dat bijkomende beluchting en roeren noodzakelijk is. Uitstekend geschikt voot CASK-CONDITIONED ALES. Hoge uitvlokking.
Vergistingstemperatuur: 18-22°C
Vergistingsgraad 67-71%.</t>
        </r>
      </text>
    </comment>
    <comment ref="B48" authorId="0" shapeId="0">
      <text>
        <r>
          <rPr>
            <i/>
            <sz val="8"/>
            <color indexed="81"/>
            <rFont val="Comic Sans MS"/>
            <family val="4"/>
          </rPr>
          <t>Brouwland:</t>
        </r>
        <r>
          <rPr>
            <sz val="8"/>
            <color indexed="81"/>
            <rFont val="Tahoma"/>
            <family val="2"/>
          </rPr>
          <t xml:space="preserve">
Een hybride met eigenschappen van ales en lagerbieren. Deze giststam ontwikkelt een uitstekende moutigheid met matige fruitfigheid en een verfrissende afdronk. Goede vergisting bij lagere temperaturen.
Vergistingstemperatuur: 13-21°C
Vergistingsgraad 73-77%.</t>
        </r>
      </text>
    </comment>
    <comment ref="B50" authorId="0" shapeId="0">
      <text>
        <r>
          <rPr>
            <i/>
            <sz val="8"/>
            <color indexed="81"/>
            <rFont val="Comic Sans MS"/>
            <family val="4"/>
          </rPr>
          <t>Brouwland:</t>
        </r>
        <r>
          <rPr>
            <sz val="8"/>
            <color indexed="81"/>
            <rFont val="Tahoma"/>
            <family val="2"/>
          </rPr>
          <t xml:space="preserve">
Lagerbieren zijn lichter en droger dan Ales met een verfrissende afdronk. Over het algemeen produceert een lagergist behoorlijke hoeveelheden zwavel gedurende de koele vergisting, die verdwijnt gedurende de veroudering. Een belangrijk profiel voor grote pilsbieren.</t>
        </r>
      </text>
    </comment>
    <comment ref="B51" authorId="0" shapeId="0">
      <text>
        <r>
          <rPr>
            <i/>
            <sz val="8"/>
            <color indexed="81"/>
            <rFont val="Comic Sans MS"/>
            <family val="4"/>
          </rPr>
          <t>Brouwland:</t>
        </r>
        <r>
          <rPr>
            <sz val="8"/>
            <color indexed="81"/>
            <rFont val="Tahoma"/>
            <family val="2"/>
          </rPr>
          <t xml:space="preserve">
Aangenaam en moutig aroma, licht fruitig. Rijk moutprofiel. Moutige, doch droge afdronk. Zeer evenwichtig, verfrissend. Hoppig karakter in de afdronk. Middelmatige tot hoge uitvlokking.
Vergistingstemperatuur: 9-13°C
Vergistingsgraad 71-75%.</t>
        </r>
      </text>
    </comment>
    <comment ref="B52" authorId="0" shapeId="0">
      <text>
        <r>
          <rPr>
            <i/>
            <sz val="8"/>
            <color indexed="81"/>
            <rFont val="Comic Sans MS"/>
            <family val="4"/>
          </rPr>
          <t>Brouwland:</t>
        </r>
        <r>
          <rPr>
            <sz val="8"/>
            <color indexed="81"/>
            <rFont val="Tahoma"/>
            <family val="2"/>
          </rPr>
          <t xml:space="preserve">
Mild fruit- en bloemenaroma. Zeer droog en zuiver palet met vol mondgevoel en een aangenaam subtiel moutig karakter. Zeer zuivere en neutrale afdronk. Matige tot hoge uitvlokking.
Vergistingstemperatuur: 9-14°C
Vergistingsgraad 72-76%.</t>
        </r>
      </text>
    </comment>
    <comment ref="B53" authorId="0" shapeId="0">
      <text>
        <r>
          <rPr>
            <i/>
            <sz val="8"/>
            <color indexed="81"/>
            <rFont val="Comic Sans MS"/>
            <family val="4"/>
          </rPr>
          <t>Brouwland:</t>
        </r>
        <r>
          <rPr>
            <sz val="8"/>
            <color indexed="81"/>
            <rFont val="Tahoma"/>
            <family val="2"/>
          </rPr>
          <t xml:space="preserve">
Een klassieke Amerikaanse pilsgist. Aangenaam zacht, moutig palet. Droog en verfrissend. Middelmatig uitvlokking.
Vergistingstemperatuur: 9-13°C
Vergistingsgraad 71-75%.</t>
        </r>
      </text>
    </comment>
    <comment ref="B54" authorId="0" shapeId="0">
      <text>
        <r>
          <rPr>
            <i/>
            <sz val="8"/>
            <color indexed="81"/>
            <rFont val="Comic Sans MS"/>
            <family val="4"/>
          </rPr>
          <t>Brouwland:</t>
        </r>
        <r>
          <rPr>
            <sz val="8"/>
            <color indexed="81"/>
            <rFont val="Tahoma"/>
            <family val="2"/>
          </rPr>
          <t xml:space="preserve">
Sterk, complex en aromatisch. Goede smaakeigenschappen voor verscheidene lagerbieren. Middelmatig uitvlokking.
Vergistingstemperatuur: 9-15°C
Vergistingsgraad 73-77%.</t>
        </r>
      </text>
    </comment>
    <comment ref="B55" authorId="0" shapeId="0">
      <text>
        <r>
          <rPr>
            <i/>
            <sz val="8"/>
            <color indexed="81"/>
            <rFont val="Comic Sans MS"/>
            <family val="4"/>
          </rPr>
          <t>Brouwland:</t>
        </r>
        <r>
          <rPr>
            <sz val="8"/>
            <color indexed="81"/>
            <rFont val="Tahoma"/>
            <family val="2"/>
          </rPr>
          <t xml:space="preserve">
Rijk, dortmundstijl, verfrissend, droge afdronk. Door het zachte profiel worden de hopeigenschappen geaccentueerd. Lage uitvlokking.
Vergistingstemperatuur: 9-13°C
Vergistingsgraad 73-77%.</t>
        </r>
      </text>
    </comment>
    <comment ref="B56" authorId="0" shapeId="0">
      <text>
        <r>
          <rPr>
            <i/>
            <sz val="8"/>
            <color indexed="81"/>
            <rFont val="Comic Sans MS"/>
            <family val="4"/>
          </rPr>
          <t>Brouwland:</t>
        </r>
        <r>
          <rPr>
            <sz val="8"/>
            <color indexed="81"/>
            <rFont val="Tahoma"/>
            <family val="2"/>
          </rPr>
          <t xml:space="preserve">
Gist speciaal voor bieren van de Amerikaanse westkust stijl 19e eeuw. Behoudt de eigenschappen van een lagerbier bij temperaturen tot 19°C.
Voor moutige en kristalheldere bieren. Hoge uitvlokking.
Vergistingstemperatuur: 14-20°C
Vergistingsgraad 67-71%.</t>
        </r>
      </text>
    </comment>
    <comment ref="B57" authorId="0" shapeId="0">
      <text>
        <r>
          <rPr>
            <i/>
            <sz val="8"/>
            <color indexed="81"/>
            <rFont val="Comic Sans MS"/>
            <family val="4"/>
          </rPr>
          <t>Brouwland:</t>
        </r>
        <r>
          <rPr>
            <sz val="8"/>
            <color indexed="81"/>
            <rFont val="Tahoma"/>
            <family val="2"/>
          </rPr>
          <t xml:space="preserve">
Vam=n weihenstephan. Zuivere en moutige vegisting met veel achterblijvende moutigheid bij pilsbieren van hoge densiteit.
Middelmatig uitvlokking.
Vergistingstemperatuur: 9-14°C
Vergistingsgraad 69-73%.</t>
        </r>
      </text>
    </comment>
    <comment ref="B58" authorId="0" shapeId="0">
      <text>
        <r>
          <rPr>
            <i/>
            <sz val="8"/>
            <color indexed="81"/>
            <rFont val="Comic Sans MS"/>
            <family val="4"/>
          </rPr>
          <t>Brouwland:</t>
        </r>
        <r>
          <rPr>
            <sz val="8"/>
            <color indexed="81"/>
            <rFont val="Tahoma"/>
            <family val="2"/>
          </rPr>
          <t xml:space="preserve">
</t>
        </r>
      </text>
    </comment>
    <comment ref="B59" authorId="0" shapeId="0">
      <text>
        <r>
          <rPr>
            <i/>
            <sz val="8"/>
            <color indexed="81"/>
            <rFont val="Comic Sans MS"/>
            <family val="4"/>
          </rPr>
          <t>Brouwland:</t>
        </r>
        <r>
          <rPr>
            <sz val="8"/>
            <color indexed="81"/>
            <rFont val="Tahoma"/>
            <family val="2"/>
          </rPr>
          <t xml:space="preserve">
Gebruikt door vele Duitse brouwerijen voor het verkrijgen van rijke stevig volle en moutige bieren. Goede keuze voor bokbieren en dubbelbockbieren. Middelmatige uitvlokking.
Vergistingstemperatuur: 8-14°C
Vergistingsgraad 73-77%.</t>
        </r>
      </text>
    </comment>
    <comment ref="B60" authorId="0" shapeId="0">
      <text>
        <r>
          <rPr>
            <i/>
            <sz val="8"/>
            <color indexed="81"/>
            <rFont val="Comic Sans MS"/>
            <family val="4"/>
          </rPr>
          <t>Brouwland:</t>
        </r>
        <r>
          <rPr>
            <sz val="8"/>
            <color indexed="81"/>
            <rFont val="Tahoma"/>
            <family val="2"/>
          </rPr>
          <t xml:space="preserve">
Een klassiek pilsgist met droge doch moutige afdronk. Een perfecte keuze voor pils- en bockbieren. De zwavel die wordt aangemaakt tijdens de gisting verdwijnt bij bewaring. Middelmatige tot hoge uitvlokking.
Vergistingstemperatuur: 10-14°C
Vergistingsgraad 70-74%.</t>
        </r>
      </text>
    </comment>
    <comment ref="B61" authorId="0" shapeId="0">
      <text>
        <r>
          <rPr>
            <i/>
            <sz val="8"/>
            <color indexed="81"/>
            <rFont val="Comic Sans MS"/>
            <family val="4"/>
          </rPr>
          <t>Brouwland:</t>
        </r>
        <r>
          <rPr>
            <sz val="8"/>
            <color indexed="81"/>
            <rFont val="Tahoma"/>
            <family val="2"/>
          </rPr>
          <t xml:space="preserve">
Unieke giststam speciaal voor fijne lagers. Zeer zacht, goede stevigheid en smaakvol. Verbetert bij stijgende temperatuur tijdens de dialyserust. Middelmatige uitvlokking.
Vergistingstemperatuur: 9-13°C
Vergistingsgraad 73-77%.</t>
        </r>
      </text>
    </comment>
    <comment ref="B62" authorId="0" shapeId="0">
      <text>
        <r>
          <rPr>
            <i/>
            <sz val="8"/>
            <color indexed="81"/>
            <rFont val="Comic Sans MS"/>
            <family val="4"/>
          </rPr>
          <t>Brouwland:</t>
        </r>
        <r>
          <rPr>
            <sz val="8"/>
            <color indexed="81"/>
            <rFont val="Tahoma"/>
            <family val="2"/>
          </rPr>
          <t xml:space="preserve">
Saison-gist die het effect van kruiden en het hoparoma versterkt. Uitstekend geschikt voot bieren met een stevig aroma en sterk kruidenboeket. Vlotte doorgister met lage uitvlokking. Levert rijk mondgevoel op. 
Vergistingstemperatuur: 18-30°C
Vergistingsgraad 77-83%.</t>
        </r>
      </text>
    </comment>
    <comment ref="B64" authorId="0" shapeId="0">
      <text>
        <r>
          <rPr>
            <i/>
            <sz val="8"/>
            <color indexed="81"/>
            <rFont val="Comic Sans MS"/>
            <family val="4"/>
          </rPr>
          <t>Brouwland:</t>
        </r>
        <r>
          <rPr>
            <sz val="8"/>
            <color indexed="81"/>
            <rFont val="Tahoma"/>
            <family val="2"/>
          </rPr>
          <t xml:space="preserve">
Onmoemlijk veelaroma's en smaken zijn afkomstig van een grote verscheidenheid aan tarwebiergisten. Sterke fruitesters en aroma's zijn dominant. Deze eigenschappen worden versterkt bij hogere vergistingstemperaturen.</t>
        </r>
      </text>
    </comment>
    <comment ref="B65" authorId="0" shapeId="0">
      <text>
        <r>
          <rPr>
            <i/>
            <sz val="8"/>
            <color indexed="81"/>
            <rFont val="Comic Sans MS"/>
            <family val="4"/>
          </rPr>
          <t>Brouwland:</t>
        </r>
        <r>
          <rPr>
            <sz val="8"/>
            <color indexed="81"/>
            <rFont val="Tahoma"/>
            <family val="2"/>
          </rPr>
          <t xml:space="preserve">
Bovengist voor eendroog, lichtzurig en verfrissend bier van het Amerikaanse hefeweizen-type. Lage uitvlokking.
Vergistingstemperatuur: 14-23°C
Vergistingsgraad 74-78%.</t>
        </r>
      </text>
    </comment>
    <comment ref="B66" authorId="0" shapeId="0">
      <text>
        <r>
          <rPr>
            <i/>
            <sz val="8"/>
            <color indexed="81"/>
            <rFont val="Comic Sans MS"/>
            <family val="4"/>
          </rPr>
          <t>Brouwland:</t>
        </r>
        <r>
          <rPr>
            <sz val="8"/>
            <color indexed="81"/>
            <rFont val="Tahoma"/>
            <family val="2"/>
          </rPr>
          <t xml:space="preserve">
Mengeling van ale-bovengist en tarwebiergist voor het verkrijgen van zacht esterige, fenolische tarwebieren. Middelmatige uitvlokking.
Vergistingstemperatuur: 18-23°C
Vergistingsgraad 73-77%.</t>
        </r>
      </text>
    </comment>
    <comment ref="B67" authorId="0" shapeId="0">
      <text>
        <r>
          <rPr>
            <i/>
            <sz val="8"/>
            <color indexed="81"/>
            <rFont val="Comic Sans MS"/>
            <family val="4"/>
          </rPr>
          <t>Brouwland:</t>
        </r>
        <r>
          <rPr>
            <sz val="8"/>
            <color indexed="81"/>
            <rFont val="Tahoma"/>
            <family val="2"/>
          </rPr>
          <t xml:space="preserve">
Unieke bovengist die de unieke en kruidige WEIZEN-karakter maakt. Rijk met kruidnagel, vanille en banaan. Het beste resultaat wordt verkregen bij vergistingstemeraturen rond de 20°C.
Vergistingstemperatuur: 18-24°C
Vergistingsgraad 73-77%.</t>
        </r>
      </text>
    </comment>
    <comment ref="B68" authorId="0" shapeId="0">
      <text>
        <r>
          <rPr>
            <i/>
            <sz val="8"/>
            <color indexed="81"/>
            <rFont val="Comic Sans MS"/>
            <family val="4"/>
          </rPr>
          <t>Brouwland:</t>
        </r>
        <r>
          <rPr>
            <sz val="8"/>
            <color indexed="81"/>
            <rFont val="Tahoma"/>
            <family val="2"/>
          </rPr>
          <t xml:space="preserve">
Subtiel smaakprofiel vooe een tarwebiergist met scherpzurige frisheid. Fruitig, kersachtig palet. Hoge uitvlokking.
Vergistingstemperatuur: 17-24°C
Vergistingsgraad 70-76%.</t>
        </r>
      </text>
    </comment>
    <comment ref="B69" authorId="0" shapeId="0">
      <text>
        <r>
          <rPr>
            <i/>
            <sz val="8"/>
            <color indexed="81"/>
            <rFont val="Comic Sans MS"/>
            <family val="4"/>
          </rPr>
          <t>Brouwland:</t>
        </r>
        <r>
          <rPr>
            <sz val="8"/>
            <color indexed="81"/>
            <rFont val="Tahoma"/>
            <family val="2"/>
          </rPr>
          <t xml:space="preserve">
Bovengistende hefeweizengist met complexe smaak en aroma. Evenwicht tussen banaan- en kauwgomesters met ook esters van litchie, appel, pruim en kruidnagel. Lage uitvlokking.
Vergistingstemperatuur: 18-24°C
Vergistingsgraad 70-76%.</t>
        </r>
      </text>
    </comment>
    <comment ref="B71" authorId="0" shapeId="0">
      <text>
        <r>
          <rPr>
            <i/>
            <sz val="8"/>
            <color indexed="81"/>
            <rFont val="Comic Sans MS"/>
            <family val="4"/>
          </rPr>
          <t>Brouwland:</t>
        </r>
        <r>
          <rPr>
            <sz val="8"/>
            <color indexed="81"/>
            <rFont val="Tahoma"/>
            <family val="2"/>
          </rPr>
          <t xml:space="preserve">
</t>
        </r>
      </text>
    </comment>
    <comment ref="B72" authorId="0" shapeId="0">
      <text>
        <r>
          <rPr>
            <i/>
            <sz val="8"/>
            <color indexed="81"/>
            <rFont val="Comic Sans MS"/>
            <family val="4"/>
          </rPr>
          <t>Brouwland:</t>
        </r>
        <r>
          <rPr>
            <sz val="8"/>
            <color indexed="81"/>
            <rFont val="Tahoma"/>
            <family val="2"/>
          </rPr>
          <t xml:space="preserve">
Wilde gist, geïsoleers uit een cultuur van een brouwerij omgeving Brussel. Voor het verkrijgen van het speciale 'zweterig paardenhaar'-karakter van lambic, geuze en oudbruin. Vergist best indien de pH verlaagt na de eerste vergisting. Deze gist wordt over het algemeen samen gebruikt met andere wilde gisten, melkzuurbacteriën en Saccharomyces Cerevisiae. Maakt een zekere zurigheid aan en kan een vlies vormen in fles of vat. Heeft normaal gezien 3 tot 6 maanden veroudering nodig om de smaak volledig te kunnen ontwikkelen. Middelmatige uitvlokking.
Vergistingstemperatuur: 15-24°C</t>
        </r>
      </text>
    </comment>
    <comment ref="B73" authorId="0" shapeId="0">
      <text>
        <r>
          <rPr>
            <i/>
            <sz val="8"/>
            <color indexed="81"/>
            <rFont val="Comic Sans MS"/>
            <family val="4"/>
          </rPr>
          <t>Brouwland:</t>
        </r>
        <r>
          <rPr>
            <sz val="8"/>
            <color indexed="81"/>
            <rFont val="Tahoma"/>
            <family val="2"/>
          </rPr>
          <t xml:space="preserve">
Melkzuurbacteriën, geïsoleerd uit een Belgische brouwerij. Deze cultuur produceert een lichte zurigheid en wordt dikwijls teruggevonden in vele biertypes waaronder lambic, oudbruin en Berliner weisse. Altijd gebruikt in combinatie met Saccharomyces Cerevisiae en vaak met verschillende wilde gisten.
Vergistingstemperatuur: 15-35°C
</t>
        </r>
      </text>
    </comment>
    <comment ref="B74" authorId="0" shapeId="0">
      <text>
        <r>
          <rPr>
            <i/>
            <sz val="8"/>
            <color indexed="81"/>
            <rFont val="Comic Sans MS"/>
            <family val="4"/>
          </rPr>
          <t>Brouwland:</t>
        </r>
        <r>
          <rPr>
            <sz val="8"/>
            <color indexed="81"/>
            <rFont val="Tahoma"/>
            <family val="2"/>
          </rPr>
          <t xml:space="preserve">
Melkzuurbacterie gebruikt voor het bekomen van Belgische bieren waarbij een zekere bijkomende zurigheid wenselijk is. Vaak teruggevonden in lambic en andere Belgische bieren. Maakt veel zuur aan waardoor het steeds zuurder wordt naarmate langere bewaring.</t>
        </r>
      </text>
    </comment>
    <comment ref="B77" authorId="0" shapeId="0">
      <text>
        <r>
          <rPr>
            <i/>
            <sz val="8"/>
            <color indexed="81"/>
            <rFont val="Comic Sans MS"/>
            <family val="4"/>
          </rPr>
          <t>Brouwland:</t>
        </r>
        <r>
          <rPr>
            <sz val="8"/>
            <color indexed="81"/>
            <rFont val="Tahoma"/>
            <family val="2"/>
          </rPr>
          <t xml:space="preserve">
Bovengist van het type abdijbier. Geschikt voor bieren van hoge densiteit. Esterig. 
Middelmatige uitvlokking. 
Vergistingtemperatuur = 20° - 24°C. 
Vergistinggraad = 74% - 78%. 
</t>
        </r>
      </text>
    </comment>
    <comment ref="B78" authorId="0" shapeId="0">
      <text>
        <r>
          <rPr>
            <i/>
            <sz val="8"/>
            <color indexed="81"/>
            <rFont val="Comic Sans MS"/>
            <family val="4"/>
          </rPr>
          <t>Brouwland:</t>
        </r>
        <r>
          <rPr>
            <sz val="8"/>
            <color indexed="81"/>
            <rFont val="Tahoma"/>
            <family val="2"/>
          </rPr>
          <t xml:space="preserve">
Gist voor een stevige smaak met middelmatige tot hoge alcoholtolerantie. Fruitig aroma en palet, droog, zurige afdronk. Lage uitvlokking. 
Vergistingtemperatuur = 18° - 27°C. 
Vergistinggraad = 74% - 78%. 
</t>
        </r>
      </text>
    </comment>
    <comment ref="B79" authorId="0" shapeId="0">
      <text>
        <r>
          <rPr>
            <i/>
            <sz val="8"/>
            <color indexed="81"/>
            <rFont val="Comic Sans MS"/>
            <family val="4"/>
          </rPr>
          <t>Brouwland:</t>
        </r>
        <r>
          <rPr>
            <sz val="8"/>
            <color indexed="81"/>
            <rFont val="Tahoma"/>
            <family val="2"/>
          </rPr>
          <t xml:space="preserve">
Gist speciaal voor hoge densiteit met een verwarmend effect door productie van ethanol. Lichtfruitig met droge afdronk. 
Middelmatige uitvlokking. 
Vergistingtemperatuur = 18° - 24°C. 
Vergistinggraad = 73% - 77% </t>
        </r>
      </text>
    </comment>
    <comment ref="B80" authorId="0" shapeId="0">
      <text>
        <r>
          <rPr>
            <i/>
            <sz val="8"/>
            <color indexed="81"/>
            <rFont val="Comic Sans MS"/>
            <family val="4"/>
          </rPr>
          <t>Brouwland:</t>
        </r>
        <r>
          <rPr>
            <sz val="8"/>
            <color indexed="81"/>
            <rFont val="Tahoma"/>
            <family val="2"/>
          </rPr>
          <t xml:space="preserve">
Bevat een selectie van Cerevisiae Saccharomyces met daarbij een tarwebiergist Belgische stijl, sherrygist, twee stammen Brettanomyces en melkzuurbacteriën. Deze mix is weliswaar niet volledig voor het verkrijgen van een lambikbier, doch wel representatief wat betreft de hoofdsmaken van dit bier. De aparte componenten van deze gist vindt u hieronder. 
Lage tot middelmatige uitvlokking.
Vergistingtemperatuur = 17° - 24°C. 
Vergistinggraad = 70% - 80%. 
</t>
        </r>
      </text>
    </comment>
    <comment ref="B81" authorId="0" shapeId="0">
      <text>
        <r>
          <rPr>
            <i/>
            <sz val="8"/>
            <color indexed="81"/>
            <rFont val="Comic Sans MS"/>
            <family val="4"/>
          </rPr>
          <t>Brouwland:</t>
        </r>
        <r>
          <rPr>
            <sz val="8"/>
            <color indexed="81"/>
            <rFont val="Tahoma"/>
            <family val="2"/>
          </rPr>
          <t xml:space="preserve">
Van een bekende Belgische brouwerij voor het brouwen van witbieren tot de zogenaamde grand-cru. Fenolisch profiel met een achtergrond van fruitigheid.
 Seizoensbeschikbaar. 
Vergistingstemperatuur = 17°-24°C. 
Vergistingsgraad = 72%-76% 
</t>
        </r>
      </text>
    </comment>
    <comment ref="B82" authorId="0" shapeId="0">
      <text>
        <r>
          <rPr>
            <i/>
            <sz val="8"/>
            <color indexed="81"/>
            <rFont val="Comic Sans MS"/>
            <family val="4"/>
          </rPr>
          <t>Brouwland:</t>
        </r>
        <r>
          <rPr>
            <sz val="8"/>
            <color indexed="81"/>
            <rFont val="Tahoma"/>
            <family val="2"/>
          </rPr>
          <t xml:space="preserve">
Eén van de zovele grote biergisten voor het brouwen van klassieke Belgische ales. Fenolen zorgen voor een zachtfruitigheid en een complexe kruidigheid bij een hogere vergistingtemperatuur.
Hoge uitvlokking. 
Vergistingtemperatuur = 18 - 24°C. 
Vergistinggraad = 72% - 76%. </t>
        </r>
      </text>
    </comment>
    <comment ref="B83" authorId="0" shapeId="0">
      <text>
        <r>
          <rPr>
            <i/>
            <sz val="8"/>
            <color indexed="81"/>
            <rFont val="Comic Sans MS"/>
            <family val="4"/>
          </rPr>
          <t>Brouwland:</t>
        </r>
        <r>
          <rPr>
            <sz val="8"/>
            <color indexed="81"/>
            <rFont val="Tahoma"/>
            <family val="2"/>
          </rPr>
          <t xml:space="preserve">
bovengist uit het Antwerpse geschikt voor Belgische specialiteiten. Zorgt voor de complexe Belgische aroma's en smaken die perfect passen bij pale- en crystalmouten. Mooi afgerond smaakprofiel, stevige body en mondgevoel. Middelmatige uitvlokking. 
Alc. Tolerantie: 11% ABV 
Uitvlokking: gemiddeld 
Vergistingsgraad:  73-77% 
Vergistingstemperatuur: 62-74°F (18-22°C) </t>
        </r>
      </text>
    </comment>
    <comment ref="B84" authorId="0" shapeId="0">
      <text>
        <r>
          <rPr>
            <i/>
            <sz val="8"/>
            <color indexed="81"/>
            <rFont val="Comic Sans MS"/>
            <family val="4"/>
          </rPr>
          <t>Brouwland:</t>
        </r>
        <r>
          <rPr>
            <sz val="8"/>
            <color indexed="81"/>
            <rFont val="Tahoma"/>
            <family val="2"/>
          </rPr>
          <t xml:space="preserve">
Klassieke saisongist. Kruidige en complexe aroma’s. Zurig droge smaak met zachte fruitigheid. Betere resultaten bij licht verhoogde vergistingtemperatuur. Vergist doorgaans traag. 
Lage uitvlokking. 
Vergistingtemperatuur = 21 – 35°C. 
Vergistinggraad = 76% - 80%</t>
        </r>
      </text>
    </comment>
    <comment ref="B85" authorId="0" shapeId="0">
      <text>
        <r>
          <rPr>
            <i/>
            <sz val="8"/>
            <color indexed="81"/>
            <rFont val="Comic Sans MS"/>
            <family val="4"/>
          </rPr>
          <t>Brouwland:</t>
        </r>
        <r>
          <rPr>
            <sz val="8"/>
            <color indexed="81"/>
            <rFont val="Tahoma"/>
            <family val="2"/>
          </rPr>
          <t xml:space="preserve">
Typische gist voor Vlaams oudbruin. Bevat lambic-culturen die zorgen voor de aardse tonen en zurigheid die typisch zijn voor deze stijl. Lange rijping (tot 18 maanden) is noodzakelijk om het bier zijn volle smaak en zurigheid te geven. 
Ook voor lambic-bieren. 
Vergistingstemperatuur: 18-30 °C. 
Vergistingsgraad: 80 %.
</t>
        </r>
      </text>
    </comment>
    <comment ref="B86" authorId="0" shapeId="0">
      <text>
        <r>
          <rPr>
            <i/>
            <sz val="8"/>
            <color indexed="81"/>
            <rFont val="Comic Sans MS"/>
            <family val="4"/>
          </rPr>
          <t>Brouwland:</t>
        </r>
        <r>
          <rPr>
            <sz val="8"/>
            <color indexed="81"/>
            <rFont val="Tahoma"/>
            <family val="2"/>
          </rPr>
          <t xml:space="preserve">
Stevige bovengist met fenolisch karakter. Alcoholtolerantie tot 12%. Ideaal voor een Bière de Garde. Droog met een rijk esterig profiel en een moutig palet. 
Middelmatige uitvlokking. 
Vergistingtemperatuur = 18° - 25°C. 
Vergistinggraad = 74% - 78%. 
</t>
        </r>
      </text>
    </comment>
    <comment ref="B87" authorId="0" shapeId="0">
      <text>
        <r>
          <rPr>
            <i/>
            <sz val="8"/>
            <color indexed="81"/>
            <rFont val="Comic Sans MS"/>
            <family val="4"/>
          </rPr>
          <t>Brouwland:</t>
        </r>
        <r>
          <rPr>
            <sz val="8"/>
            <color indexed="81"/>
            <rFont val="Tahoma"/>
            <family val="2"/>
          </rPr>
          <t xml:space="preserve">
Van een kleine Belgische brouwerij. Laag in esters fenolproducerend. Appels en pruimen in de neus en een droge afdronk. 
Middelmatige uitvlokking. 
Vergistingstemperatuur = 18°-23°C. 
Vergistingsgraad = 72%-76%. 
</t>
        </r>
      </text>
    </comment>
    <comment ref="B88" authorId="0" shapeId="0">
      <text>
        <r>
          <rPr>
            <i/>
            <sz val="8"/>
            <color indexed="81"/>
            <rFont val="Comic Sans MS"/>
            <family val="4"/>
          </rPr>
          <t>Brouwland:</t>
        </r>
        <r>
          <rPr>
            <sz val="8"/>
            <color indexed="81"/>
            <rFont val="Tahoma"/>
            <family val="2"/>
          </rPr>
          <t xml:space="preserve">
Zurig, lichtjes fenolisch karakter voor het brouwen van welbepaalde witbieren en grand-crus. Alcoholtolerant. 
Middelmatige uitvlokking. 
Vergistingstemperatuur = 16°-24°C. 
Vergistingsgraad = 72%-76%. 
</t>
        </r>
      </text>
    </comment>
  </commentList>
</comments>
</file>

<file path=xl/comments6.xml><?xml version="1.0" encoding="utf-8"?>
<comments xmlns="http://schemas.openxmlformats.org/spreadsheetml/2006/main">
  <authors>
    <author>Ser Vullings</author>
    <author/>
  </authors>
  <commentList>
    <comment ref="A9" authorId="0" shapeId="0">
      <text>
        <r>
          <rPr>
            <i/>
            <sz val="8"/>
            <color indexed="81"/>
            <rFont val="Comic Sans MS"/>
            <family val="4"/>
          </rPr>
          <t>Ser Vullings:</t>
        </r>
        <r>
          <rPr>
            <sz val="8"/>
            <color indexed="81"/>
            <rFont val="Tahoma"/>
            <family val="2"/>
          </rPr>
          <t xml:space="preserve">
Deze cel instellen als "standaard" en vullen met "0" (nul dus)</t>
        </r>
      </text>
    </comment>
    <comment ref="B9" authorId="0" shapeId="0">
      <text>
        <r>
          <rPr>
            <i/>
            <sz val="8"/>
            <color indexed="81"/>
            <rFont val="Comic Sans MS"/>
            <family val="4"/>
          </rPr>
          <t>Ser Vullings:</t>
        </r>
        <r>
          <rPr>
            <sz val="8"/>
            <color indexed="81"/>
            <rFont val="Tahoma"/>
            <family val="2"/>
          </rPr>
          <t xml:space="preserve">
Instellen als Standaard en vullen met een minteken "-"</t>
        </r>
      </text>
    </comment>
    <comment ref="B25" authorId="1" shapeId="0">
      <text>
        <r>
          <rPr>
            <b/>
            <sz val="8"/>
            <color indexed="8"/>
            <rFont val="Comic Sans MS"/>
            <family val="4"/>
          </rPr>
          <t xml:space="preserve">Ton:
</t>
        </r>
        <r>
          <rPr>
            <sz val="8"/>
            <color indexed="8"/>
            <rFont val="Comic Sans MS"/>
            <family val="4"/>
          </rPr>
          <t>pitten verwijderen.</t>
        </r>
      </text>
    </comment>
    <comment ref="B85" authorId="1" shapeId="0">
      <text>
        <r>
          <rPr>
            <b/>
            <sz val="8"/>
            <color indexed="8"/>
            <rFont val="Comic Sans MS"/>
            <family val="4"/>
          </rPr>
          <t xml:space="preserve">Ton:
</t>
        </r>
        <r>
          <rPr>
            <sz val="8"/>
            <color indexed="8"/>
            <rFont val="Comic Sans MS"/>
            <family val="4"/>
          </rPr>
          <t>toevoegen na de gisting en twee maanden laten macereren.</t>
        </r>
      </text>
    </comment>
    <comment ref="B113" authorId="1" shapeId="0">
      <text>
        <r>
          <rPr>
            <b/>
            <sz val="8"/>
            <color indexed="8"/>
            <rFont val="Tahoma"/>
            <family val="2"/>
          </rPr>
          <t xml:space="preserve">Ser Vullings:
</t>
        </r>
        <r>
          <rPr>
            <sz val="8"/>
            <color indexed="8"/>
            <rFont val="Tahoma"/>
            <family val="2"/>
          </rPr>
          <t>let op:
niet toegestaan bij wedstrijden</t>
        </r>
      </text>
    </comment>
  </commentList>
</comments>
</file>

<file path=xl/sharedStrings.xml><?xml version="1.0" encoding="utf-8"?>
<sst xmlns="http://schemas.openxmlformats.org/spreadsheetml/2006/main" count="1537" uniqueCount="1104">
  <si>
    <t>Recept /
logboek nr.</t>
  </si>
  <si>
    <t>Liters maischwater 
per kg mout</t>
  </si>
  <si>
    <t>Bier  type</t>
  </si>
  <si>
    <t>Brouwer</t>
  </si>
  <si>
    <t>Kleur EBC</t>
  </si>
  <si>
    <t>Kleur omschrijving</t>
  </si>
  <si>
    <t>Bij 1e heveling S.G.</t>
  </si>
  <si>
    <t>Totale bitterheid IBU</t>
  </si>
  <si>
    <t>Schijnbare Vergisting</t>
  </si>
  <si>
    <t>hulp tabellen verhouding</t>
  </si>
  <si>
    <t>Bitterheid omschrijving</t>
  </si>
  <si>
    <t>Aantal g/l bottelsuiker</t>
  </si>
  <si>
    <t>Brouwzaal rendement</t>
  </si>
  <si>
    <t>Kooktijd in min</t>
  </si>
  <si>
    <t>Installatie rendement</t>
  </si>
  <si>
    <t>kg</t>
  </si>
  <si>
    <t>record</t>
  </si>
  <si>
    <t>mout</t>
  </si>
  <si>
    <t>Extrakt 
fact.</t>
  </si>
  <si>
    <t>EBC 
kleur</t>
  </si>
  <si>
    <t>deel
S.G.</t>
  </si>
  <si>
    <t>deel
 EBC</t>
  </si>
  <si>
    <t>opmerkingen</t>
  </si>
  <si>
    <t>suikers</t>
  </si>
  <si>
    <t>extrakt 
fact.</t>
  </si>
  <si>
    <t>EBC
kleur</t>
  </si>
  <si>
    <t>deel 
S.G.</t>
  </si>
  <si>
    <t>deel 
EBC</t>
  </si>
  <si>
    <t>bottelsuiker</t>
  </si>
  <si>
    <t>S.G.</t>
  </si>
  <si>
    <t>gram</t>
  </si>
  <si>
    <t>hop</t>
  </si>
  <si>
    <t>% 
alfa zuur</t>
  </si>
  <si>
    <t>tijd hop mee 
koken in min</t>
  </si>
  <si>
    <t>IBU 
aandeel</t>
  </si>
  <si>
    <t>B</t>
  </si>
  <si>
    <t>&lt;-- totale hop gewicht</t>
  </si>
  <si>
    <t>totale hop bitterheid --&gt;</t>
  </si>
  <si>
    <t>gist</t>
  </si>
  <si>
    <t>opmerking</t>
  </si>
  <si>
    <t>maisch schema grafisch</t>
  </si>
  <si>
    <t>kruiden/additieven</t>
  </si>
  <si>
    <t xml:space="preserve"> </t>
  </si>
  <si>
    <t>Water aangepast met</t>
  </si>
  <si>
    <t>Hoofdgisting gestart op</t>
  </si>
  <si>
    <t>Temp. hoofdgisting  in °C</t>
  </si>
  <si>
    <t>Temp. lagering in °C</t>
  </si>
  <si>
    <t xml:space="preserve">Datum bottelen </t>
  </si>
  <si>
    <t>Temperatuur  in °C</t>
  </si>
  <si>
    <t>spoelen</t>
  </si>
  <si>
    <t>koelen</t>
  </si>
  <si>
    <t>Tijd in minuten</t>
  </si>
  <si>
    <t>pH</t>
  </si>
  <si>
    <t>Verwarmen</t>
  </si>
  <si>
    <t>stappen van het maisch schema</t>
  </si>
  <si>
    <t>bloemen</t>
  </si>
  <si>
    <t>temp.</t>
  </si>
  <si>
    <t>tijd in min.</t>
  </si>
  <si>
    <t>°C</t>
  </si>
  <si>
    <t>tijd  in min</t>
  </si>
  <si>
    <t>pallet</t>
  </si>
  <si>
    <t>P</t>
  </si>
  <si>
    <t xml:space="preserve">    pellet ??</t>
  </si>
  <si>
    <t>start</t>
  </si>
  <si>
    <t>stop</t>
  </si>
  <si>
    <t>S.G. (zonder suikers)</t>
  </si>
  <si>
    <t>afronden S.G op 10 eenheden</t>
  </si>
  <si>
    <t>kooktijd</t>
  </si>
  <si>
    <t>Begin S.G.   Dit is de tabel volgens hobbybrouwen</t>
  </si>
  <si>
    <t>hopgift</t>
  </si>
  <si>
    <t>EBU aandeel</t>
  </si>
  <si>
    <t>alfa zuur</t>
  </si>
  <si>
    <t>gr/10l</t>
  </si>
  <si>
    <t>DHR</t>
  </si>
  <si>
    <t>Kooktijd</t>
  </si>
  <si>
    <t>hop gift 1</t>
  </si>
  <si>
    <t>min.</t>
  </si>
  <si>
    <t>totaal</t>
  </si>
  <si>
    <t>oud</t>
  </si>
  <si>
    <t>nieuw</t>
  </si>
  <si>
    <t>Vergelijkingen van de lijnen bepaald uit deze grafieken.   (alle op 4e graads polynoom basis)</t>
  </si>
  <si>
    <t>densiteit</t>
  </si>
  <si>
    <t>vergelijking.</t>
  </si>
  <si>
    <t>(voor "x" vul je de kooktijd in)</t>
  </si>
  <si>
    <t>y = -0,000000004160625x4 + 0,000001400652572x3 - 0,000181473605536x2 + 0,011274897128777x + 0,003458016386372</t>
  </si>
  <si>
    <t>y = -0,000000004044290x4 + 0,000001339772834x3 - 0,000170725602247x2 + 0,010460178147039x + 0,001506400549522</t>
  </si>
  <si>
    <t>y = -0,00000000370590974x4 + 0,00000122828391004x3 - 0,00015633913655060x2 + 0,00956255390260585x + 0,00157137834374854</t>
  </si>
  <si>
    <t>y = -0,0000000033976765x4 + 0,0000011250152533x3 - 0,0001431864396158x2 + 0,0087594164332019x + 0,0011150383691723</t>
  </si>
  <si>
    <t>y = -0,0000000030945005x4 + 0,0000010249690135x3 - 0,0001305179756368x2 + 0,0079878274782061x + 0,0012641886374256</t>
  </si>
  <si>
    <t>y = -0,0000000027738693x4 + 0,0000009246851463x3 - 0,0001185031570336x2 + 0,0072869681745214x + 0,0011774964971938</t>
  </si>
  <si>
    <t>y = -0,0000000025934250x4 + 0,0000008603218391x3 - 0,0001094739572688x2 + 0,0066853898387198x + 0,0011542244995715</t>
  </si>
  <si>
    <t>y = -0,0000000023310352x4 + 0,0000007796431484x3 - 0,0000998287404081x2 + 0,0061134405825549x + 0,0009272724785276</t>
  </si>
  <si>
    <t>y = -0,0000000021340833x4 + 0,0000007072585172x3 - 0,0000902185753079x2 + 0,0055434779001008x + 0,0011692111538055</t>
  </si>
  <si>
    <t>SG</t>
  </si>
  <si>
    <t>Het SG wordt automatisch gekopieerd vanuit het tabblad "berekening Wort", al het andere wordt daarna berekend</t>
  </si>
  <si>
    <t>Plato werkelijk = Plato gemeten - 0,42 * Alcohol gew%
Plato werkelijk = Plato gemeten - % VOL alcohol / 3</t>
  </si>
  <si>
    <t>Stamwort</t>
  </si>
  <si>
    <t>% vergisting</t>
  </si>
  <si>
    <t>°Pt werkelijk</t>
  </si>
  <si>
    <t>°Pt gemeten</t>
  </si>
  <si>
    <t>% Vol Alc</t>
  </si>
  <si>
    <t>% Vol Alcohol = Stamwort * Vergistinggraad * 0,51 / 0,789</t>
  </si>
  <si>
    <t>Algemene opmerkingen voor het gebruik van dit tabblad</t>
  </si>
  <si>
    <t>Aantekeningen maischen</t>
  </si>
  <si>
    <t>Aantekeningen vergisting</t>
  </si>
  <si>
    <t>Aantekeningen bottelen</t>
  </si>
  <si>
    <t>Aantekeningen geproefd</t>
  </si>
  <si>
    <t>Problemen</t>
  </si>
  <si>
    <t>Resultaten bij keuring of proeverij</t>
  </si>
  <si>
    <t>record nr.</t>
  </si>
  <si>
    <t>mout soort
(met opmerkingen)</t>
  </si>
  <si>
    <t>extraktie fact.</t>
  </si>
  <si>
    <t>Cara-crystal</t>
  </si>
  <si>
    <t>Geroosterde gerst</t>
  </si>
  <si>
    <t>suiker soorten</t>
  </si>
  <si>
    <t>extrakt fact.</t>
  </si>
  <si>
    <t>kleur in EBC per kg.</t>
  </si>
  <si>
    <t xml:space="preserve"> -</t>
  </si>
  <si>
    <t>Bruine basterd suiker -donker</t>
  </si>
  <si>
    <t>Honing</t>
  </si>
  <si>
    <t>Kristal-suiker</t>
  </si>
  <si>
    <t>Rietsuiker</t>
  </si>
  <si>
    <t>Stroop</t>
  </si>
  <si>
    <t>Bruine basterd suiker -licht</t>
  </si>
  <si>
    <t>record nr</t>
  </si>
  <si>
    <t>speciaal geschikt voor</t>
  </si>
  <si>
    <t>Aroma</t>
  </si>
  <si>
    <t>Bitter</t>
  </si>
  <si>
    <t>Bullion</t>
  </si>
  <si>
    <t xml:space="preserve">A </t>
  </si>
  <si>
    <t>A</t>
  </si>
  <si>
    <t>Cluster</t>
  </si>
  <si>
    <t>Eroica</t>
  </si>
  <si>
    <t>D</t>
  </si>
  <si>
    <t>Progress</t>
  </si>
  <si>
    <t>Yeoman</t>
  </si>
  <si>
    <t>toepassing voor</t>
  </si>
  <si>
    <t>-</t>
  </si>
  <si>
    <t>cellvit vinoferm</t>
  </si>
  <si>
    <t>bewaren in diepvries</t>
  </si>
  <si>
    <t>kruid / additief</t>
  </si>
  <si>
    <t xml:space="preserve">gebruik </t>
  </si>
  <si>
    <t>smaak / opmerking</t>
  </si>
  <si>
    <t>1) kruiden tijdens het maischen; veel smaak, weing geur.</t>
  </si>
  <si>
    <t>2) toevoegen op het eind van het koken, indien te lang koken verdampen meer aromatische stoffen.</t>
  </si>
  <si>
    <t>3) tijdens het gisten zowel hoofdgisting als nagisting, beste na de hoofd gisting, minder kans op infecties.</t>
  </si>
  <si>
    <t xml:space="preserve">4) vlak voor het bottelen kruiden of beter kruiden extract(en). </t>
  </si>
  <si>
    <t>5) gebruik liever te weing kruiden dan te veel. Bij te veel kans dat het bier niet drinkbaar is.</t>
  </si>
  <si>
    <t>6) gedroogde kruiden geven een konstanter resultaat.</t>
  </si>
  <si>
    <t>7) verse kruiden altijd goed wassen voor gebruik.</t>
  </si>
  <si>
    <t>Alo'e</t>
  </si>
  <si>
    <t>tot een pasta gedroogd sap van de blaadjes</t>
  </si>
  <si>
    <t>zeer bitter met een sterke bittere geur.</t>
  </si>
  <si>
    <t>ascorbinezuur</t>
  </si>
  <si>
    <t>(Vitamine C) vinoferm (ascorvit)</t>
  </si>
  <si>
    <t>gebruikt tegen oxidant van wort en bier.</t>
  </si>
  <si>
    <t>Balsemwormkruid</t>
  </si>
  <si>
    <t>blaadjes</t>
  </si>
  <si>
    <t>balsemachtig, iets aromatischer dan boerenwormkruid.</t>
  </si>
  <si>
    <t>Beekpunge</t>
  </si>
  <si>
    <t>blaadjes en jongen stengel</t>
  </si>
  <si>
    <t>bitter en onprettig scherp.</t>
  </si>
  <si>
    <t>bierkleurstof</t>
  </si>
  <si>
    <t>zie caramel</t>
  </si>
  <si>
    <t>bittere sinaasappelschillen</t>
  </si>
  <si>
    <t>schillen</t>
  </si>
  <si>
    <t>bitter en licht fruitig.</t>
  </si>
  <si>
    <t>Boerenwormkruid</t>
  </si>
  <si>
    <t>blaadjes en bloem</t>
  </si>
  <si>
    <t>bitter en kruidig met kamferachtig aroma.</t>
  </si>
  <si>
    <t>Braam</t>
  </si>
  <si>
    <t>bes</t>
  </si>
  <si>
    <t>fruitig</t>
  </si>
  <si>
    <t>brandnetel</t>
  </si>
  <si>
    <t>blaadjes en stengel</t>
  </si>
  <si>
    <t>zuur/wrang en licht zoutig</t>
  </si>
  <si>
    <t>brem</t>
  </si>
  <si>
    <t>toppen van jonge takken</t>
  </si>
  <si>
    <t>bitter</t>
  </si>
  <si>
    <t>brew body</t>
  </si>
  <si>
    <t>poeder op basis van malto-dextrinen.</t>
  </si>
  <si>
    <t>brouwgips</t>
  </si>
  <si>
    <t>buisman`s koffie (siroop)</t>
  </si>
  <si>
    <t>poeder voor af mengen met water tot papje</t>
  </si>
  <si>
    <t>sterk gebrande koffie suiker/smaak</t>
  </si>
  <si>
    <t>caramel</t>
  </si>
  <si>
    <t>vloeibaar</t>
  </si>
  <si>
    <t>natuurlijke kleurstof voor bier, likeuren</t>
  </si>
  <si>
    <t>extract van de celwanden van de gistcellen.</t>
  </si>
  <si>
    <t>bitter en aromatisch</t>
  </si>
  <si>
    <t>citroenmelisse</t>
  </si>
  <si>
    <t>stengel en blaadjes</t>
  </si>
  <si>
    <t>citroenachtig</t>
  </si>
  <si>
    <t>dadels</t>
  </si>
  <si>
    <t>duizendblad</t>
  </si>
  <si>
    <t>duizendguldenkruid</t>
  </si>
  <si>
    <t>gehele plant uitgezonderd de wortel</t>
  </si>
  <si>
    <t>els</t>
  </si>
  <si>
    <t>takjes, schors,en knoppen</t>
  </si>
  <si>
    <t>samen trekkend (looizuren).</t>
  </si>
  <si>
    <t>es</t>
  </si>
  <si>
    <t>blaadjes en schors</t>
  </si>
  <si>
    <t>foelie</t>
  </si>
  <si>
    <t>is vruchtbeginsel nootmuskaat</t>
  </si>
  <si>
    <t>zoet, warm en aromatisch</t>
  </si>
  <si>
    <t>gagel</t>
  </si>
  <si>
    <t>Blaadjes, katjes en takjes</t>
  </si>
  <si>
    <t>wrang en samen trekkend</t>
  </si>
  <si>
    <t>galanga</t>
  </si>
  <si>
    <t>wortel</t>
  </si>
  <si>
    <t>een zachte gember geur en smaak</t>
  </si>
  <si>
    <t>galbult(syn. Galnoot,galappel op eikenblad).</t>
  </si>
  <si>
    <t>het resultaat van een aanval van een galwesp op een eiken blad.</t>
  </si>
  <si>
    <t>bitter samentrekkend</t>
  </si>
  <si>
    <t>gele gentiaan</t>
  </si>
  <si>
    <t>penetrant bitter.</t>
  </si>
  <si>
    <t>gember</t>
  </si>
  <si>
    <t>heet en pikant kruidig</t>
  </si>
  <si>
    <t>gewoon nagelkruid</t>
  </si>
  <si>
    <t>prettig kruidnagelachtig</t>
  </si>
  <si>
    <t>gezegende distel</t>
  </si>
  <si>
    <t>blaadjes en bloemtoppen</t>
  </si>
  <si>
    <t>goud reinetten</t>
  </si>
  <si>
    <t>pers de appels, voeg de pulp aan het maischwater toe en het sap aan het eind van het koken.</t>
  </si>
  <si>
    <t>Griekse alant</t>
  </si>
  <si>
    <t>licht bitter met een kamferachtige geur</t>
  </si>
  <si>
    <t>Grote pimpernel</t>
  </si>
  <si>
    <t>gehele plant</t>
  </si>
  <si>
    <t>samentrekkend.</t>
  </si>
  <si>
    <t>hondsdraf</t>
  </si>
  <si>
    <t>bitter, aromatisch en balsemachtig</t>
  </si>
  <si>
    <t>honig-linden</t>
  </si>
  <si>
    <t>honing</t>
  </si>
  <si>
    <t>zoet licht bitter</t>
  </si>
  <si>
    <t>hyssop</t>
  </si>
  <si>
    <t>bloemen en blaadjes</t>
  </si>
  <si>
    <t>aromatisch, en samentrekkend.</t>
  </si>
  <si>
    <t>voor het neerslaan van eiwitten in de wort, aan het eind van het koken toevoegen, max 5 gram/25 liter</t>
  </si>
  <si>
    <t>ijzerhard syn. Verbena</t>
  </si>
  <si>
    <t>zuur/wrang en licht samentrekkend</t>
  </si>
  <si>
    <t>iris</t>
  </si>
  <si>
    <t>licht bitter met een geur die doet denken aan viooltjes</t>
  </si>
  <si>
    <t>jalap syn. Jalappe jalappewortel</t>
  </si>
  <si>
    <t>benauwend en bitter-zoet</t>
  </si>
  <si>
    <t>jeneverbes</t>
  </si>
  <si>
    <t>bessen</t>
  </si>
  <si>
    <t>aromatisch kruidig, bitter-zoet</t>
  </si>
  <si>
    <t>kalmoes</t>
  </si>
  <si>
    <t>wortelstok</t>
  </si>
  <si>
    <t>licht bitter, warm, kruidig en prettig aromatisch</t>
  </si>
  <si>
    <t>kamille</t>
  </si>
  <si>
    <t>bitter met een aromatische geur</t>
  </si>
  <si>
    <t>kaneel</t>
  </si>
  <si>
    <t>schors en takken</t>
  </si>
  <si>
    <t>warm, zoet en aromatisch</t>
  </si>
  <si>
    <t>kardamom</t>
  </si>
  <si>
    <t>zaad (uit de noot halen en pletten)</t>
  </si>
  <si>
    <t>scherp en aromatisch</t>
  </si>
  <si>
    <t>kartelblad</t>
  </si>
  <si>
    <t>bitter, aromatisch , samen trekkend, lijkt iets op thee</t>
  </si>
  <si>
    <t>karwij syn. Kummel</t>
  </si>
  <si>
    <t>zaad</t>
  </si>
  <si>
    <t>warm en kruidig, aromatisch.</t>
  </si>
  <si>
    <t>kassie,de roodbruine kaneel variant die in Nederland vaak als kaneel verkocht wordt.</t>
  </si>
  <si>
    <t>schors en knoppen</t>
  </si>
  <si>
    <t>warm , iets scherper en zoeter dan gewone kaneel.</t>
  </si>
  <si>
    <t>klarvit vinoferm</t>
  </si>
  <si>
    <t>kieselsol/gelatine</t>
  </si>
  <si>
    <t>universeel inzetbaar klarings middel voor bier en sap wijn.</t>
  </si>
  <si>
    <t>klein hoefblad</t>
  </si>
  <si>
    <t>licht bitter</t>
  </si>
  <si>
    <t>klis syn. klit</t>
  </si>
  <si>
    <t>sterk, warm,zoet,dropachtig</t>
  </si>
  <si>
    <t>koffie-gemalen</t>
  </si>
  <si>
    <t>fijnkorrelig gemalen poeder</t>
  </si>
  <si>
    <t>koffie smaak</t>
  </si>
  <si>
    <t>koriander</t>
  </si>
  <si>
    <t>warm, kruidig en aromatisch</t>
  </si>
  <si>
    <t>kruidnagel</t>
  </si>
  <si>
    <t>niet ontwikkelde bloem</t>
  </si>
  <si>
    <t>sterk aromatisch</t>
  </si>
  <si>
    <t>kruisboom</t>
  </si>
  <si>
    <t>vruchten en takjes</t>
  </si>
  <si>
    <t>warm en eigenaardig (cannabis-achtig)</t>
  </si>
  <si>
    <t>kwassieboom syn. Bitterhout</t>
  </si>
  <si>
    <t>schors in schijfjes gesneden</t>
  </si>
  <si>
    <t>intens bitter met een onprettige nasmaak</t>
  </si>
  <si>
    <t>lavendel</t>
  </si>
  <si>
    <t>majoraan</t>
  </si>
  <si>
    <t>aromatisch en plezierig</t>
  </si>
  <si>
    <t>malrove</t>
  </si>
  <si>
    <t>bitter, licht zoutig, kruidig aroma</t>
  </si>
  <si>
    <t>meekrap</t>
  </si>
  <si>
    <t xml:space="preserve">samentrekkend   </t>
  </si>
  <si>
    <t>melioot syn. Melote</t>
  </si>
  <si>
    <t>geen gegevens bekend</t>
  </si>
  <si>
    <t>scherp en bitter met een zoete geur</t>
  </si>
  <si>
    <t>melisse</t>
  </si>
  <si>
    <t>melksuiker</t>
  </si>
  <si>
    <t xml:space="preserve">vloeibaar </t>
  </si>
  <si>
    <t>moerasspirea</t>
  </si>
  <si>
    <t>amandelachtig</t>
  </si>
  <si>
    <t>mosterd</t>
  </si>
  <si>
    <t>gemalen of gekneusd zaad</t>
  </si>
  <si>
    <t>heet, scherp</t>
  </si>
  <si>
    <t>munt</t>
  </si>
  <si>
    <t>zachter dan pepermunt</t>
  </si>
  <si>
    <t>nootmuskaat</t>
  </si>
  <si>
    <t>noot en vruchtbeginsel (=foelie)</t>
  </si>
  <si>
    <t>nutrivit</t>
  </si>
  <si>
    <t>gist voeding zouten.</t>
  </si>
  <si>
    <t>ogentroost</t>
  </si>
  <si>
    <t>de plant boven de wortel</t>
  </si>
  <si>
    <t>bitter en bijtend</t>
  </si>
  <si>
    <t>onzelievevrouwebedstro</t>
  </si>
  <si>
    <t>takjes en essence</t>
  </si>
  <si>
    <t>aromatisch</t>
  </si>
  <si>
    <t>paardebloem</t>
  </si>
  <si>
    <t>paradijszaad</t>
  </si>
  <si>
    <t>heet, samentrekkend en scherp</t>
  </si>
  <si>
    <t>polie</t>
  </si>
  <si>
    <t>munt achtig met sterk aromatisch aroma</t>
  </si>
  <si>
    <t>rietsuikerstroop</t>
  </si>
  <si>
    <t>stroop</t>
  </si>
  <si>
    <t>sterk zoet</t>
  </si>
  <si>
    <t>rozemarijn</t>
  </si>
  <si>
    <t>blaadjes, de toppen waaraan bloemen zitten geven het beste resultaat</t>
  </si>
  <si>
    <t>bitter en kamferachtig</t>
  </si>
  <si>
    <t>rozen</t>
  </si>
  <si>
    <t>rozenbottels</t>
  </si>
  <si>
    <t>rozijnen</t>
  </si>
  <si>
    <t>rozijn is gedroogde witte-druif</t>
  </si>
  <si>
    <t>zoet, druiven smaak</t>
  </si>
  <si>
    <t>sacharinetabletten</t>
  </si>
  <si>
    <t>tablet zoetstof die niet vergist</t>
  </si>
  <si>
    <t>zoete zoetstof</t>
  </si>
  <si>
    <t>salie</t>
  </si>
  <si>
    <t>sassafras</t>
  </si>
  <si>
    <t>uit de wortel geextraheerde olie</t>
  </si>
  <si>
    <t>plezierig, aromatisch en licht kruidig</t>
  </si>
  <si>
    <t>schuimkraag FIW</t>
  </si>
  <si>
    <t>poeder</t>
  </si>
  <si>
    <t>toevoegen vlak voor bottelen bevordert de schuimkraag van Uw bier. 4-8 gram / 10 liter.</t>
  </si>
  <si>
    <t>sena (blad)</t>
  </si>
  <si>
    <t>blaadjes en peultjes</t>
  </si>
  <si>
    <t>niet prettig, zoet en slijmerig</t>
  </si>
  <si>
    <t>sinaasappelschil</t>
  </si>
  <si>
    <t>sleedoorns</t>
  </si>
  <si>
    <t>sleutelbloem</t>
  </si>
  <si>
    <t>bloem en wortel</t>
  </si>
  <si>
    <t>bijtend bitter met een geur die doet denken aan anijs</t>
  </si>
  <si>
    <t>spaanse peper</t>
  </si>
  <si>
    <t>vrucht</t>
  </si>
  <si>
    <t>scherp, peperig</t>
  </si>
  <si>
    <t>St. janskruid</t>
  </si>
  <si>
    <t>gehele plant uitgezonderd wortel</t>
  </si>
  <si>
    <t>samentrekkend en aromatisch</t>
  </si>
  <si>
    <t>ster-anijs</t>
  </si>
  <si>
    <t>struikheide</t>
  </si>
  <si>
    <t>samentrekkend</t>
  </si>
  <si>
    <t>tannine vinoferm (tannovin)</t>
  </si>
  <si>
    <t>poeder(extra zuivere oenologische tannine (=looizuur)</t>
  </si>
  <si>
    <t>voor bier en wijn, zorgt voor betere klaring, verhoogt de bewaarbaarheid en stabiliteit en geeft karakter aan bier en wijn.</t>
  </si>
  <si>
    <t>thym</t>
  </si>
  <si>
    <t>wrange kruidige smaak met een prettig aroma</t>
  </si>
  <si>
    <t>valse salie syn. Wilde salie en gamader</t>
  </si>
  <si>
    <t>de toppen van de plant</t>
  </si>
  <si>
    <t>bitter, doet iets denken aan hop</t>
  </si>
  <si>
    <t>venkel</t>
  </si>
  <si>
    <t xml:space="preserve">vislijm </t>
  </si>
  <si>
    <t>vloeibaar vinoferm</t>
  </si>
  <si>
    <t>vlier</t>
  </si>
  <si>
    <t>bloesem en bessen</t>
  </si>
  <si>
    <t>fruitig (bloemen niet te veel te gebruiken om het ontstaan van urine-achtige smaak te vermijden).</t>
  </si>
  <si>
    <t>walnoot</t>
  </si>
  <si>
    <t>bitter met een prettig aroma</t>
  </si>
  <si>
    <t>waterdrieblad syn. Bitterklaver</t>
  </si>
  <si>
    <t>waterkers</t>
  </si>
  <si>
    <t>lichtbitter</t>
  </si>
  <si>
    <t>wilde peen</t>
  </si>
  <si>
    <t>warm, scherp en bitter</t>
  </si>
  <si>
    <t>zoete sinaasappelen</t>
  </si>
  <si>
    <t>bitter (veel minder dan de bittere variant), fruitig en zoetig.</t>
  </si>
  <si>
    <t>zoethout</t>
  </si>
  <si>
    <t>zoet,plezierig en verzachtend</t>
  </si>
  <si>
    <t>alsem</t>
  </si>
  <si>
    <t xml:space="preserve">giftig             </t>
  </si>
  <si>
    <t>bilzekruid syn. Malwillempjeskruid en dolkruid</t>
  </si>
  <si>
    <t>zuur giftig</t>
  </si>
  <si>
    <t>weerzinwekkend dat overgaat in bitter</t>
  </si>
  <si>
    <t>braaknoot</t>
  </si>
  <si>
    <t>zeer giftig</t>
  </si>
  <si>
    <t>dolik syn. Bedwelmend raaigras en hondsdravik</t>
  </si>
  <si>
    <t>verdovend, bedwelmend</t>
  </si>
  <si>
    <t>bijtend bitter.</t>
  </si>
  <si>
    <t>grote hoeveelheden kuunen duizeligen en zelfs krankzinnigheid veroorzaken</t>
  </si>
  <si>
    <t>bitter en wrang met een kruidige geur.</t>
  </si>
  <si>
    <t>kolokwint syn. Kwintappel</t>
  </si>
  <si>
    <t>giftig</t>
  </si>
  <si>
    <t>bitter, zeer onprettige smaak.</t>
  </si>
  <si>
    <t>laurierkers syn. Kerslaurier</t>
  </si>
  <si>
    <t>moerasrozemarijn</t>
  </si>
  <si>
    <t>bedwelmend en giftig</t>
  </si>
  <si>
    <t>kruidig</t>
  </si>
  <si>
    <t>papaver</t>
  </si>
  <si>
    <t>zeer sterk verdovend en giftig</t>
  </si>
  <si>
    <t>?</t>
  </si>
  <si>
    <t>scharlei, een salie-variant</t>
  </si>
  <si>
    <t xml:space="preserve">verdovend </t>
  </si>
  <si>
    <t>aromatisch, warm en bitter</t>
  </si>
  <si>
    <t>tabaksplant</t>
  </si>
  <si>
    <t>taxus</t>
  </si>
  <si>
    <t>vingerhoedskruid</t>
  </si>
  <si>
    <t>bitter en weerzinwekkend</t>
  </si>
  <si>
    <t>wolfskers syn. Belladonna en doodkruid</t>
  </si>
  <si>
    <t>TIJD</t>
  </si>
  <si>
    <t>C</t>
  </si>
  <si>
    <t>klasse berekening</t>
  </si>
  <si>
    <t>alc</t>
  </si>
  <si>
    <t>kleur</t>
  </si>
  <si>
    <t>klasse</t>
  </si>
  <si>
    <t>Brix (of °Pt)  of SG aan eind vd stap</t>
  </si>
  <si>
    <t>Brouw datum:</t>
  </si>
  <si>
    <t>Bier klasse:</t>
  </si>
  <si>
    <t>maischen + koken in uren</t>
  </si>
  <si>
    <t>Vakjes met donkergroene tekst en gele achtergrond zelf invullen bij het samenstellen van het recept</t>
  </si>
  <si>
    <t>Max. (eind) S.G. bij bottelen</t>
  </si>
  <si>
    <t>EBC kleur</t>
  </si>
  <si>
    <t>Datum hevelen na hoofdgisting / S.G.</t>
  </si>
  <si>
    <t>Datum in lagering zetten / S.G.</t>
  </si>
  <si>
    <t>10</t>
  </si>
  <si>
    <t>5</t>
  </si>
  <si>
    <t>Totale hoeveelheid bier</t>
  </si>
  <si>
    <t>Afkoeling tijdens Spoelen</t>
  </si>
  <si>
    <t>Koelen na koken</t>
  </si>
  <si>
    <r>
      <t>"B</t>
    </r>
    <r>
      <rPr>
        <sz val="10"/>
        <rFont val="Comic Sans MS"/>
        <family val="4"/>
      </rPr>
      <t>loem</t>
    </r>
    <r>
      <rPr>
        <b/>
        <sz val="10"/>
        <rFont val="Comic Sans MS"/>
        <family val="4"/>
      </rPr>
      <t xml:space="preserve">" </t>
    </r>
    <r>
      <rPr>
        <sz val="10"/>
        <rFont val="Comic Sans MS"/>
        <family val="4"/>
      </rPr>
      <t>of 
"</t>
    </r>
    <r>
      <rPr>
        <b/>
        <sz val="10"/>
        <rFont val="Comic Sans MS"/>
        <family val="4"/>
      </rPr>
      <t>P</t>
    </r>
    <r>
      <rPr>
        <sz val="10"/>
        <rFont val="Comic Sans MS"/>
        <family val="4"/>
      </rPr>
      <t>ellet"</t>
    </r>
  </si>
  <si>
    <t>Vakjes met mint achtergrond invullen tijdens of na brouwen als logboek</t>
  </si>
  <si>
    <t>Vakjes met lichtoranje achtergrond hebben betrekking op je installatie en moet je zelf bepalen.</t>
  </si>
  <si>
    <t>Gewenst aantal liters na vergisting</t>
  </si>
  <si>
    <t>versie 03
jan. 2011</t>
  </si>
  <si>
    <t>Brouwzout voor waterbehandeling</t>
  </si>
  <si>
    <t>iers mos</t>
  </si>
  <si>
    <r>
      <t>magnesiumsulfaat (MgSO</t>
    </r>
    <r>
      <rPr>
        <vertAlign val="subscript"/>
        <sz val="10"/>
        <rFont val="Comic Sans MS"/>
        <family val="4"/>
      </rPr>
      <t>4</t>
    </r>
    <r>
      <rPr>
        <sz val="10"/>
        <rFont val="Comic Sans MS"/>
        <family val="4"/>
      </rPr>
      <t>)</t>
    </r>
  </si>
  <si>
    <r>
      <t>calciumchloride (CaCl</t>
    </r>
    <r>
      <rPr>
        <vertAlign val="subscript"/>
        <sz val="10"/>
        <rFont val="Comic Sans MS"/>
        <family val="4"/>
      </rPr>
      <t>2</t>
    </r>
    <r>
      <rPr>
        <sz val="10"/>
        <rFont val="Comic Sans MS"/>
        <family val="4"/>
      </rPr>
      <t>)</t>
    </r>
  </si>
  <si>
    <r>
      <t>calciumsulfaat (CaSO</t>
    </r>
    <r>
      <rPr>
        <vertAlign val="subscript"/>
        <sz val="10"/>
        <rFont val="Comic Sans MS"/>
        <family val="4"/>
      </rPr>
      <t>4</t>
    </r>
    <r>
      <rPr>
        <sz val="10"/>
        <rFont val="Comic Sans MS"/>
        <family val="4"/>
      </rPr>
      <t>)</t>
    </r>
  </si>
  <si>
    <t>Verlaagt de pH van de maisch en verhoogt de permanente hardheid (calcium onen) van het brouwwater. 1 gr toevoegen aan 10 ltr verhoogt de zouen met 23 ppm calcium, 56 ppm sulfaat en de hardheid met 58 ppm.</t>
  </si>
  <si>
    <t>Verlaagt een weinig de pH van de maisch. 1 gram toevoegen aan 10 ltr verhoogt de zouten in het water met 39 ppm sulfaat, 10 ppm magnesium en de hardheid met 41 ppm.</t>
  </si>
  <si>
    <t>Chloriden geven het bier een zachte, volmondige en zoetere smaak terwijl calcium bijdraagt tot de uitvlokking van eiwitten en de stabilisatie van de smaak. De maximaal hoeveelheid calcium en chloriden in het bier bedragen 200 mg/ltr.200 mgr/ltr.</t>
  </si>
  <si>
    <t>Lactol melkzuur 80%</t>
  </si>
  <si>
    <t xml:space="preserve">Profiel </t>
  </si>
  <si>
    <t>limoen, fruitig</t>
  </si>
  <si>
    <t>ales, IPA</t>
  </si>
  <si>
    <t>bloemig, citrus,hars</t>
  </si>
  <si>
    <t>Hopsoort</t>
  </si>
  <si>
    <t>specerijen</t>
  </si>
  <si>
    <t xml:space="preserve">B </t>
  </si>
  <si>
    <t>IPA, porter,barley wine</t>
  </si>
  <si>
    <t>imperial stout, barley wine</t>
  </si>
  <si>
    <t>engelse ales, bitter, lagers, tripels</t>
  </si>
  <si>
    <t>lagers, imperial stout</t>
  </si>
  <si>
    <t>pils, alt kolsch</t>
  </si>
  <si>
    <t>bitter, engelse ales</t>
  </si>
  <si>
    <t>IPA, lambic, donkere bieren</t>
  </si>
  <si>
    <t>APA</t>
  </si>
  <si>
    <t>bockbieren, duitse bieren</t>
  </si>
  <si>
    <t>pale ale, porter, lager</t>
  </si>
  <si>
    <t>ales, lagers</t>
  </si>
  <si>
    <t>porter, kolsch, munchener</t>
  </si>
  <si>
    <t>ales</t>
  </si>
  <si>
    <t xml:space="preserve">lager </t>
  </si>
  <si>
    <t>pils, bockbieren, lager</t>
  </si>
  <si>
    <t>pale ale, bitter</t>
  </si>
  <si>
    <t>citrus, kruidig</t>
  </si>
  <si>
    <t>kruid, mild, fruitig</t>
  </si>
  <si>
    <t>specerijen, harsig, grapefruit</t>
  </si>
  <si>
    <t>mild, kruidig</t>
  </si>
  <si>
    <t>kruidig, zoetig</t>
  </si>
  <si>
    <t>bloemig, grasachtig</t>
  </si>
  <si>
    <t>citrus, hoppig</t>
  </si>
  <si>
    <t>mild, kruidig, bloemig</t>
  </si>
  <si>
    <t>hoppig, bloemig</t>
  </si>
  <si>
    <t>geen aroma</t>
  </si>
  <si>
    <t>bitter- en aromahop</t>
  </si>
  <si>
    <t>hoppig, kruidig</t>
  </si>
  <si>
    <t>mild, licht kruidig</t>
  </si>
  <si>
    <t>citroenachtig, harsig</t>
  </si>
  <si>
    <t>harde bitterhop, scherp</t>
  </si>
  <si>
    <t>licht kruidig, grasachtig</t>
  </si>
  <si>
    <t xml:space="preserve">fruitig, bloemachtig </t>
  </si>
  <si>
    <t>9 (A),20 (B)</t>
  </si>
  <si>
    <t>15,20</t>
  </si>
  <si>
    <t>11,12</t>
  </si>
  <si>
    <t>9,19,22</t>
  </si>
  <si>
    <t>2,8,19,22</t>
  </si>
  <si>
    <t>geen</t>
  </si>
  <si>
    <t>7,12</t>
  </si>
  <si>
    <t>7,11</t>
  </si>
  <si>
    <t>11,12(A),14,15(B)</t>
  </si>
  <si>
    <t>15</t>
  </si>
  <si>
    <t>5,20</t>
  </si>
  <si>
    <t>21</t>
  </si>
  <si>
    <t>9,22</t>
  </si>
  <si>
    <t>17,18</t>
  </si>
  <si>
    <t>19</t>
  </si>
  <si>
    <t xml:space="preserve">D </t>
  </si>
  <si>
    <t>5 - 7</t>
  </si>
  <si>
    <t>% alfazuur  in het  algemeen</t>
  </si>
  <si>
    <t>Voor welk soort bier</t>
  </si>
  <si>
    <t>Meest gangbare hoppen, veelal verkrijgbaar bij Brouwland-Beverlo, Brouwmarkt-Almere enz.</t>
  </si>
  <si>
    <t>Admiral</t>
  </si>
  <si>
    <t>Apollo</t>
  </si>
  <si>
    <t>Athanum</t>
  </si>
  <si>
    <t>Cascade (NZ)</t>
  </si>
  <si>
    <t>Centennial</t>
  </si>
  <si>
    <t>Columbus</t>
  </si>
  <si>
    <t>First Gold</t>
  </si>
  <si>
    <t>Glacier</t>
  </si>
  <si>
    <t>Green Bullet</t>
  </si>
  <si>
    <t>Hallertauer Gold</t>
  </si>
  <si>
    <t>Hallertauer Taurus</t>
  </si>
  <si>
    <t>Hallertauer Tradition</t>
  </si>
  <si>
    <t>Herald</t>
  </si>
  <si>
    <t>Herkules</t>
  </si>
  <si>
    <t>Hersbrucker Pure</t>
  </si>
  <si>
    <t>Horizon</t>
  </si>
  <si>
    <t>Liberty</t>
  </si>
  <si>
    <t>Lublin</t>
  </si>
  <si>
    <t>Merkur</t>
  </si>
  <si>
    <t>Mount Hood</t>
  </si>
  <si>
    <t>Newport</t>
  </si>
  <si>
    <t>Nugget</t>
  </si>
  <si>
    <t>Omega</t>
  </si>
  <si>
    <t>Pallisade</t>
  </si>
  <si>
    <t>Phoenix</t>
  </si>
  <si>
    <t>Pioneer</t>
  </si>
  <si>
    <t>Pride of Ringwood</t>
  </si>
  <si>
    <t>Riwaka</t>
  </si>
  <si>
    <t>Saaz USA</t>
  </si>
  <si>
    <t>Santiam</t>
  </si>
  <si>
    <t>Satus</t>
  </si>
  <si>
    <t>Sladek</t>
  </si>
  <si>
    <t>Simcoe</t>
  </si>
  <si>
    <t>Sterling</t>
  </si>
  <si>
    <t>Strisselspalt</t>
  </si>
  <si>
    <t>Summit</t>
  </si>
  <si>
    <t>Tillicum</t>
  </si>
  <si>
    <t>Ultra</t>
  </si>
  <si>
    <t>Vanguard</t>
  </si>
  <si>
    <t>Whitbread Golding Variety</t>
  </si>
  <si>
    <t>Yakima</t>
  </si>
  <si>
    <t xml:space="preserve">Minder bekende hoppen - zie LABO </t>
  </si>
  <si>
    <t>ale, imperial stout</t>
  </si>
  <si>
    <t>APA, IPA</t>
  </si>
  <si>
    <t>lager, American ales</t>
  </si>
  <si>
    <t>Engelse ales, barley wine</t>
  </si>
  <si>
    <t>IPA, stout</t>
  </si>
  <si>
    <t>ales, witbier</t>
  </si>
  <si>
    <t>ale (aroma),lager (bitterhop)</t>
  </si>
  <si>
    <t>IPA, pale ale, stout</t>
  </si>
  <si>
    <t>bitter, porter, tarwebier</t>
  </si>
  <si>
    <t>ala</t>
  </si>
  <si>
    <t>Engelse en Amerikaanse ales</t>
  </si>
  <si>
    <t>Engelse ales, stout, porter</t>
  </si>
  <si>
    <t>Engelse ales</t>
  </si>
  <si>
    <t>geen gegevens</t>
  </si>
  <si>
    <t>lager, pils, bock- en tarwebier</t>
  </si>
  <si>
    <t>lager</t>
  </si>
  <si>
    <t>brown ale</t>
  </si>
  <si>
    <t>Duitse bieren, bockbier</t>
  </si>
  <si>
    <t>bitter, mild, IPA, porter, stout</t>
  </si>
  <si>
    <t>ale, lager</t>
  </si>
  <si>
    <t>pils</t>
  </si>
  <si>
    <t>ale, stout, lager</t>
  </si>
  <si>
    <t>Engelse pale ale,bitter, porter</t>
  </si>
  <si>
    <t>lager, imperial stout</t>
  </si>
  <si>
    <t>onbekend</t>
  </si>
  <si>
    <t>American ales</t>
  </si>
  <si>
    <t>pale ale, porters, Duitse bieren</t>
  </si>
  <si>
    <t>ales, tripels</t>
  </si>
  <si>
    <t>ales, strong bitter</t>
  </si>
  <si>
    <t>ales, bitter, porter</t>
  </si>
  <si>
    <t>pils, lagers</t>
  </si>
  <si>
    <t>lagers, American ales, pils, kolsch</t>
  </si>
  <si>
    <t>lagers</t>
  </si>
  <si>
    <t>lagers, lambiek</t>
  </si>
  <si>
    <t>lagers, ales, pils</t>
  </si>
  <si>
    <t>pils, lagers, tarwebier</t>
  </si>
  <si>
    <t>APA, imperial stout</t>
  </si>
  <si>
    <t>Duitse bieren, American lagers, tarwebier</t>
  </si>
  <si>
    <t>lagers, pils, tarwebier</t>
  </si>
  <si>
    <t>pale ale,bitter, porter</t>
  </si>
  <si>
    <t>bitterhop</t>
  </si>
  <si>
    <t>bitterhop, weinig aroma</t>
  </si>
  <si>
    <t>scherp, citrus, harsig</t>
  </si>
  <si>
    <t>bitterhop, neutraal aroma</t>
  </si>
  <si>
    <t>bloemen, grapefruit</t>
  </si>
  <si>
    <t>bloemachtig, citrus</t>
  </si>
  <si>
    <t>bitterhop, dryhopping, scherp</t>
  </si>
  <si>
    <t>bitterhop met fijn aroma</t>
  </si>
  <si>
    <t>kruidig, specerijen</t>
  </si>
  <si>
    <t>mild, houtachtig, fruitig</t>
  </si>
  <si>
    <t>mild</t>
  </si>
  <si>
    <t>mild, hoppig</t>
  </si>
  <si>
    <t>bloemachtig, kruidig</t>
  </si>
  <si>
    <t>bitterhop, weinig aroma, frambozen</t>
  </si>
  <si>
    <t>bitterhop (als pioneer)</t>
  </si>
  <si>
    <t>bloemachtig, specerijen</t>
  </si>
  <si>
    <t>licht, kruidig</t>
  </si>
  <si>
    <t>mild, licht kruidig, als Saaz</t>
  </si>
  <si>
    <t>mild, scherp, harsig</t>
  </si>
  <si>
    <t>bitterhop, scherp</t>
  </si>
  <si>
    <t>medium tot sterk aroma</t>
  </si>
  <si>
    <t>als challenger</t>
  </si>
  <si>
    <t>bloemachtig</t>
  </si>
  <si>
    <t>mild aroma</t>
  </si>
  <si>
    <t>overheersend aroma</t>
  </si>
  <si>
    <t>sterk aroma</t>
  </si>
  <si>
    <t>citrus, grapefruit</t>
  </si>
  <si>
    <t>Spalt</t>
  </si>
  <si>
    <t>verfijnd aroma, hoppig</t>
  </si>
  <si>
    <t>als andere Am. Hop</t>
  </si>
  <si>
    <t>kruidig, bloemig, citrus</t>
  </si>
  <si>
    <t>hoppig</t>
  </si>
  <si>
    <t>aromatisch, licht kruidig</t>
  </si>
  <si>
    <t>als hallertau mittelfruh</t>
  </si>
  <si>
    <t>aroma hop, dry hopping</t>
  </si>
  <si>
    <t>harde bitterhop</t>
  </si>
  <si>
    <t>5*</t>
  </si>
  <si>
    <t>1,4</t>
  </si>
  <si>
    <t>3,15</t>
  </si>
  <si>
    <t>4</t>
  </si>
  <si>
    <t>6</t>
  </si>
  <si>
    <t>10,15</t>
  </si>
  <si>
    <t>7,8</t>
  </si>
  <si>
    <t>19,22</t>
  </si>
  <si>
    <t>7</t>
  </si>
  <si>
    <t>12</t>
  </si>
  <si>
    <t>8</t>
  </si>
  <si>
    <t>12*,13*</t>
  </si>
  <si>
    <t>14*,15*</t>
  </si>
  <si>
    <t>* eigen interpretatie LABO</t>
  </si>
  <si>
    <t>8*</t>
  </si>
  <si>
    <t>15*</t>
  </si>
  <si>
    <t>8,9,19,22</t>
  </si>
  <si>
    <t>14</t>
  </si>
  <si>
    <t>7*,12*</t>
  </si>
  <si>
    <t>17,21</t>
  </si>
  <si>
    <t>9,10,14</t>
  </si>
  <si>
    <t>10*,20*</t>
  </si>
  <si>
    <t>10,20</t>
  </si>
  <si>
    <t>8,9(A);5,20(B)</t>
  </si>
  <si>
    <t>5,8</t>
  </si>
  <si>
    <t>8,9</t>
  </si>
  <si>
    <t>17</t>
  </si>
  <si>
    <t>18,21</t>
  </si>
  <si>
    <t>4*</t>
  </si>
  <si>
    <t>17,18,21</t>
  </si>
  <si>
    <t>,18</t>
  </si>
  <si>
    <t>12,17</t>
  </si>
  <si>
    <t>9,19,21</t>
  </si>
  <si>
    <t>20</t>
  </si>
  <si>
    <t>Vervangers vlgs literatuur</t>
  </si>
  <si>
    <t>13,5 - 16</t>
  </si>
  <si>
    <t>15 - 19</t>
  </si>
  <si>
    <t>4 - 6,3</t>
  </si>
  <si>
    <t>7 - 8,5</t>
  </si>
  <si>
    <t>6,5 - 9</t>
  </si>
  <si>
    <t>6 - 8</t>
  </si>
  <si>
    <t>8 - 11,5</t>
  </si>
  <si>
    <t>5,5 - 8,5</t>
  </si>
  <si>
    <t>11 - 16</t>
  </si>
  <si>
    <t>11 - 14</t>
  </si>
  <si>
    <t>6,5 - 8,5</t>
  </si>
  <si>
    <t>4 - 5,5</t>
  </si>
  <si>
    <t>3,3 - 9,7</t>
  </si>
  <si>
    <t>4 - 6</t>
  </si>
  <si>
    <t>3,5 - 5,5</t>
  </si>
  <si>
    <t>6 - 6,5</t>
  </si>
  <si>
    <t>12 - 17</t>
  </si>
  <si>
    <t>11 - 13</t>
  </si>
  <si>
    <t>4 - 5</t>
  </si>
  <si>
    <t>3 - 6</t>
  </si>
  <si>
    <t>3 - 4,5</t>
  </si>
  <si>
    <t>10 - 14</t>
  </si>
  <si>
    <t xml:space="preserve">3 - 8 </t>
  </si>
  <si>
    <t>13 - 17</t>
  </si>
  <si>
    <t>6 - 10</t>
  </si>
  <si>
    <t>9 - 14,5</t>
  </si>
  <si>
    <t>5,5 - 9,5</t>
  </si>
  <si>
    <t>6 - 9,5</t>
  </si>
  <si>
    <t>4,2-5,5
9-13,5</t>
  </si>
  <si>
    <t>8 - 10</t>
  </si>
  <si>
    <t>7 - 10</t>
  </si>
  <si>
    <t>5 - 7,5</t>
  </si>
  <si>
    <t>4,5 - 6,5</t>
  </si>
  <si>
    <t>3 - 5</t>
  </si>
  <si>
    <t>5 - 7,9</t>
  </si>
  <si>
    <t>12,5 - 14</t>
  </si>
  <si>
    <t>5 - 6</t>
  </si>
  <si>
    <t>12 - 14</t>
  </si>
  <si>
    <t>4 - 6,5</t>
  </si>
  <si>
    <t>6 - 9</t>
  </si>
  <si>
    <t xml:space="preserve">3 - 5 </t>
  </si>
  <si>
    <t>16 - 18</t>
  </si>
  <si>
    <t>3,4 - 5,2</t>
  </si>
  <si>
    <t>13 - 14</t>
  </si>
  <si>
    <t>3,5 - 5</t>
  </si>
  <si>
    <t>4 - 5,7</t>
  </si>
  <si>
    <t>5 - 8</t>
  </si>
  <si>
    <t>6 - 8,5</t>
  </si>
  <si>
    <t>8 -12</t>
  </si>
  <si>
    <t>Bramling Cross#</t>
  </si>
  <si>
    <t>Chinook#</t>
  </si>
  <si>
    <t>Crystal#</t>
  </si>
  <si>
    <t>Galena#</t>
  </si>
  <si>
    <t>Pilgrim#</t>
  </si>
  <si>
    <t>Dry</t>
  </si>
  <si>
    <t>soort gist</t>
  </si>
  <si>
    <t>Top gist Brewferm</t>
  </si>
  <si>
    <t>Blanche gist Brewferm</t>
  </si>
  <si>
    <t>Safale US 05</t>
  </si>
  <si>
    <t>Saflager W 34/70</t>
  </si>
  <si>
    <t>Safbrew S 33</t>
  </si>
  <si>
    <t>Safbrew T 58</t>
  </si>
  <si>
    <t>Safbrew WB 06</t>
  </si>
  <si>
    <t>Saflager S 23</t>
  </si>
  <si>
    <t>Safale S 04</t>
  </si>
  <si>
    <t>Safale K 97</t>
  </si>
  <si>
    <t>Saflager S 189</t>
  </si>
  <si>
    <t>Amberkleurige en donkere bieren</t>
  </si>
  <si>
    <t>witbieren</t>
  </si>
  <si>
    <t>Lagergist Brewferm</t>
  </si>
  <si>
    <t>lagerbieren</t>
  </si>
  <si>
    <t>frisse afdronk</t>
  </si>
  <si>
    <t>alle doeleinden</t>
  </si>
  <si>
    <t>kruidiger aroma</t>
  </si>
  <si>
    <t>tarwebieren</t>
  </si>
  <si>
    <t>pils-type bieren</t>
  </si>
  <si>
    <t>universeel</t>
  </si>
  <si>
    <t>tarwebieren, witbier</t>
  </si>
  <si>
    <t>neutrale pils-type bieren</t>
  </si>
  <si>
    <t>neutrale ondergist</t>
  </si>
  <si>
    <t>Amerikaans hefeweizen-type</t>
  </si>
  <si>
    <t>1007 German Ale</t>
  </si>
  <si>
    <t>1010 American Wheat</t>
  </si>
  <si>
    <t>1028 London Ale</t>
  </si>
  <si>
    <t>1056 American Ale</t>
  </si>
  <si>
    <t>1084 Irish Ale</t>
  </si>
  <si>
    <t>1087 Ale Blend</t>
  </si>
  <si>
    <t>1098 British Ale</t>
  </si>
  <si>
    <t>1099 Whitbread Ale</t>
  </si>
  <si>
    <t>1187 Ringwood Ale</t>
  </si>
  <si>
    <t>1214 Belgian Abbey</t>
  </si>
  <si>
    <t>1272 All American Ale</t>
  </si>
  <si>
    <t>1275 Thames Valley Ale</t>
  </si>
  <si>
    <t>1318 London Ale III</t>
  </si>
  <si>
    <t>1335 British Ale II</t>
  </si>
  <si>
    <t>1338 European Ale</t>
  </si>
  <si>
    <t>1728 Scottish Ale</t>
  </si>
  <si>
    <t>1968  London ESB Ale</t>
  </si>
  <si>
    <t>2000 Budvar Lager</t>
  </si>
  <si>
    <t>2001 Urquell Lager</t>
  </si>
  <si>
    <t>2007 Pilsen Lager</t>
  </si>
  <si>
    <t>2035 American Lager</t>
  </si>
  <si>
    <t>2112 California lager</t>
  </si>
  <si>
    <t>2124 Bohemian Lager</t>
  </si>
  <si>
    <t>2042 Danish Lager</t>
  </si>
  <si>
    <t>2178 Lager Blend</t>
  </si>
  <si>
    <t>2206 Bavarian Lager</t>
  </si>
  <si>
    <t>2278 Czech Pils</t>
  </si>
  <si>
    <t>2308 Munich Lager</t>
  </si>
  <si>
    <t>3711 French Saison</t>
  </si>
  <si>
    <t>3068 Weihenstephan Wheat</t>
  </si>
  <si>
    <t>3333 German Wheat</t>
  </si>
  <si>
    <t>3638 Bavarian Wheat</t>
  </si>
  <si>
    <t>3944 Belgisch Witbier</t>
  </si>
  <si>
    <t>1388 Belgian Strong Ale</t>
  </si>
  <si>
    <t>1762 Belgian Abbey 2</t>
  </si>
  <si>
    <t>3278 Belgisch Lambic Blend</t>
  </si>
  <si>
    <t>3463 Verboden vrucht</t>
  </si>
  <si>
    <t>3522 Belgian Ardennes</t>
  </si>
  <si>
    <t>5112 Brettanomyces Bruxellensis</t>
  </si>
  <si>
    <t>5335 Lactobacillus</t>
  </si>
  <si>
    <t>5733 Pediococcus</t>
  </si>
  <si>
    <t>3655 Belgian schelde Ale</t>
  </si>
  <si>
    <t>3724 Belgian Saison</t>
  </si>
  <si>
    <t>3763 Roeselare Ale Blend</t>
  </si>
  <si>
    <t>3787 Trappist High Gravity</t>
  </si>
  <si>
    <t>3942 Belgian Wheat</t>
  </si>
  <si>
    <t>Gistvoedingszout</t>
  </si>
  <si>
    <t xml:space="preserve">Nutrivit </t>
  </si>
  <si>
    <t>cellvit</t>
  </si>
  <si>
    <t>Voor een vlotte vergisting</t>
  </si>
  <si>
    <t>Snellere start, verhoogde alcohol-opbrengst, lager einddichtheid</t>
  </si>
  <si>
    <t xml:space="preserve">Vooral bij probleem gistingen </t>
  </si>
  <si>
    <t>Gistvoedingscomplex</t>
  </si>
  <si>
    <t>Verhoogt de levensvatbaarheid van de gistcellen</t>
  </si>
  <si>
    <t>Vloeibare Wyeast-ALE</t>
  </si>
  <si>
    <t>Stouts</t>
  </si>
  <si>
    <t>Bitters</t>
  </si>
  <si>
    <t>Schotse Ales</t>
  </si>
  <si>
    <t>Britse en Canadese Ales</t>
  </si>
  <si>
    <t>2565 Kölsch</t>
  </si>
  <si>
    <t>Bock en dubbelbock</t>
  </si>
  <si>
    <t>Pils- en bockbieren</t>
  </si>
  <si>
    <t>Saison</t>
  </si>
  <si>
    <t>3056 Bavarian Wheat Blend</t>
  </si>
  <si>
    <t>Basismouten</t>
  </si>
  <si>
    <t>Pils</t>
  </si>
  <si>
    <t>Pale</t>
  </si>
  <si>
    <t>Vienna</t>
  </si>
  <si>
    <t>Munchener</t>
  </si>
  <si>
    <t>Amber</t>
  </si>
  <si>
    <t>Special B</t>
  </si>
  <si>
    <t>Roostmouten</t>
  </si>
  <si>
    <t>Biscuit</t>
  </si>
  <si>
    <t>Black ontbitterd</t>
  </si>
  <si>
    <t xml:space="preserve">Black  </t>
  </si>
  <si>
    <t>Tarwemouten</t>
  </si>
  <si>
    <t>Tarwemout licht</t>
  </si>
  <si>
    <t>Tarwemout donker</t>
  </si>
  <si>
    <t>Tarwemout roost</t>
  </si>
  <si>
    <t>Speciaalmouten</t>
  </si>
  <si>
    <t>Rauchmalz - rookmout</t>
  </si>
  <si>
    <t>Sauermalz - zuurmout</t>
  </si>
  <si>
    <t>Rogge</t>
  </si>
  <si>
    <t>Spelt</t>
  </si>
  <si>
    <t>Whisky</t>
  </si>
  <si>
    <t>Vlokken</t>
  </si>
  <si>
    <t>Gerstvlokken</t>
  </si>
  <si>
    <t>Maïsvlokken</t>
  </si>
  <si>
    <t>Havervlokken</t>
  </si>
  <si>
    <t>Tarwevlokken</t>
  </si>
  <si>
    <t>Rijstvlokken</t>
  </si>
  <si>
    <t>Moutextracten poeder</t>
  </si>
  <si>
    <t>Chocolate  ontbitterd</t>
  </si>
  <si>
    <t xml:space="preserve">Chocolate </t>
  </si>
  <si>
    <t>Moutextracten vloeibaar</t>
  </si>
  <si>
    <t>Extract poeder Licht</t>
  </si>
  <si>
    <t>Extract poeder Amber</t>
  </si>
  <si>
    <t>Extract poeder Donker</t>
  </si>
  <si>
    <t>Extract poeder Black</t>
  </si>
  <si>
    <t>Extract poeder Tarwe</t>
  </si>
  <si>
    <t>Extract vloeib. Licht</t>
  </si>
  <si>
    <t>Extract vloeib. Medium</t>
  </si>
  <si>
    <t>Extract vloeib. Donker</t>
  </si>
  <si>
    <t>Extract vloeib. Tarwe</t>
  </si>
  <si>
    <r>
      <t>Melanoidin</t>
    </r>
    <r>
      <rPr>
        <sz val="12"/>
        <rFont val="Comic Sans MS"/>
        <family val="4"/>
      </rPr>
      <t xml:space="preserve"> </t>
    </r>
  </si>
  <si>
    <t>Caramelmouten</t>
  </si>
  <si>
    <t>een natuur produkt dat de vermeerdering van gisten en hun vergistingsvermogen verhoogt. Voordelen snelle start vergisting,lagere eind-dichtheid voor wijn en bier bereiding! Dosering 2-3 gr/10 l. Toe te voegen VOOR het toevoegen van de gist.</t>
  </si>
  <si>
    <t>voor vermindering Ph-waarde wort, en voor het aanzuren van bier. Dosis: 12,5 ml/10 l verhoogt de zuurgraad met 1 g/l</t>
  </si>
  <si>
    <t>Speciaal mengsel van gistvoedingszouten, vitaminen (o.a. B1), mineralen en sporen-elementen, in een ideale verhouding. Ideaal voor een vlotte vergisting van alle bieren.</t>
  </si>
  <si>
    <t>gist voeding zouten (Wyeast nutrient blend)</t>
  </si>
  <si>
    <t>East kent goldings (UK)</t>
  </si>
  <si>
    <t>Hallertau hersbrucker (D)</t>
  </si>
  <si>
    <t>Hallertau mittelfrüh (D)</t>
  </si>
  <si>
    <t>Hallertau perle (D)</t>
  </si>
  <si>
    <t>Magnum (D)</t>
  </si>
  <si>
    <t>Brewers gold (B,D)</t>
  </si>
  <si>
    <t>Cascade (US)</t>
  </si>
  <si>
    <t>Challenger (UK)</t>
  </si>
  <si>
    <t>Fuggles (UK)</t>
  </si>
  <si>
    <t>Northern brewer (D)</t>
  </si>
  <si>
    <t>Spalt select (D)</t>
  </si>
  <si>
    <t>Styrian goldings (SL)</t>
  </si>
  <si>
    <t>Target (UK)</t>
  </si>
  <si>
    <t>Tettnanger (D)</t>
  </si>
  <si>
    <t>Willamette (US)</t>
  </si>
  <si>
    <t>Amarillo (US)</t>
  </si>
  <si>
    <t>Golding (US)</t>
  </si>
  <si>
    <t>Brewers Gold (US)</t>
  </si>
  <si>
    <t>Fuggle (US)</t>
  </si>
  <si>
    <t>Hallertauer (US)</t>
  </si>
  <si>
    <t>Kent Goldings (US)</t>
  </si>
  <si>
    <t>Northern Brewer (US)</t>
  </si>
  <si>
    <t>Perle (US)</t>
  </si>
  <si>
    <t>Spalt Select (US)</t>
  </si>
  <si>
    <t>Tetnanger (US)</t>
  </si>
  <si>
    <t>Hoparomatabletten</t>
  </si>
  <si>
    <t>Hopextract geïsomeriseerd</t>
  </si>
  <si>
    <t>Hopproducten</t>
  </si>
  <si>
    <t>Aantekeningen koken</t>
  </si>
  <si>
    <t>Aantekeningen koelen</t>
  </si>
  <si>
    <t>OMREKENTABEL 
Soortelijk gewicht, Plato en Brix</t>
  </si>
  <si>
    <t>°Plato</t>
  </si>
  <si>
    <t>°Brix</t>
  </si>
  <si>
    <t>Danstar Nottingham</t>
  </si>
  <si>
    <t>Extra pale premium pilsner</t>
  </si>
  <si>
    <t>BIO pilsner</t>
  </si>
  <si>
    <t>Bohemian pilsner</t>
  </si>
  <si>
    <t>Vloergemoute Bohemian pilsner</t>
  </si>
  <si>
    <t>BIO pale ale</t>
  </si>
  <si>
    <t>BIO vienna</t>
  </si>
  <si>
    <t>BIO Munich type 1</t>
  </si>
  <si>
    <t>Brewferm</t>
  </si>
  <si>
    <t>Weyermann</t>
  </si>
  <si>
    <t>BIO Tarwemout</t>
  </si>
  <si>
    <t>Tarwemout eik gerookt</t>
  </si>
  <si>
    <t>Carafa special type 1</t>
  </si>
  <si>
    <t>BIO carafa</t>
  </si>
  <si>
    <t>Chocolate roggemout</t>
  </si>
  <si>
    <t>Carafa special type 3</t>
  </si>
  <si>
    <t>kleur in 
EBC (gem)</t>
  </si>
  <si>
    <t>23</t>
  </si>
  <si>
    <t>2,5</t>
  </si>
  <si>
    <t>77.5</t>
  </si>
  <si>
    <t>Abbey malt</t>
  </si>
  <si>
    <t>BIO CaraHell</t>
  </si>
  <si>
    <t>BIO caraPils</t>
  </si>
  <si>
    <t>CaraHell</t>
  </si>
  <si>
    <t>CaraRed</t>
  </si>
  <si>
    <t>CaraBelge</t>
  </si>
  <si>
    <t>BIO CaraRed</t>
  </si>
  <si>
    <t>CaraAmber</t>
  </si>
  <si>
    <t>CaraMunich type 2</t>
  </si>
  <si>
    <t>BIO CaraMunich type 2</t>
  </si>
  <si>
    <t>CaraAroma</t>
  </si>
  <si>
    <t>CaraPils</t>
  </si>
  <si>
    <t>BIO spelt</t>
  </si>
  <si>
    <t>3,5</t>
  </si>
  <si>
    <t>6,5</t>
  </si>
  <si>
    <t>8-11</t>
  </si>
  <si>
    <t>5,5,-6,5</t>
  </si>
  <si>
    <t>4,5 - 7</t>
  </si>
  <si>
    <t>6,5-8,5</t>
  </si>
  <si>
    <t>4-6</t>
  </si>
  <si>
    <t>4-6,5</t>
  </si>
  <si>
    <t>3-5,5</t>
  </si>
  <si>
    <t>3,5-5,5</t>
  </si>
  <si>
    <t>7-9,5</t>
  </si>
  <si>
    <t>10-15</t>
  </si>
  <si>
    <t>8-10</t>
  </si>
  <si>
    <t>Saaz (CZ)</t>
  </si>
  <si>
    <t>3-5</t>
  </si>
  <si>
    <t>3-6</t>
  </si>
  <si>
    <t>9,5-12,5</t>
  </si>
  <si>
    <t>3,5-6</t>
  </si>
  <si>
    <t>Additieven</t>
  </si>
  <si>
    <t>Kruiden</t>
  </si>
  <si>
    <t>Een zorgvuldig samengesteld mengsel van vitaminen, mineralen, aminozuren, stikstofcomponenten, fosfaten en zink. Verhoogt de levensvatbaarheid van gistcellen, helpt een gezonde gistgroei, vermindert de "lagtime" (opstarttijd) van de gist, verbetert de vegisting en bevordert een hogere eindgistingsgraad (dus lagere einddensiteit). Bruikbaar bij bierbereiding. Dosering: 1 g/10 l wort. Oplossen in een weinig heet water en toevoegen aan de wort.</t>
  </si>
  <si>
    <t>flessen van 0,75 ltr   =</t>
  </si>
  <si>
    <t>vaatjes van 10 ltr       =</t>
  </si>
  <si>
    <r>
      <t xml:space="preserve">Gebruik </t>
    </r>
    <r>
      <rPr>
        <i/>
        <sz val="10"/>
        <color indexed="10"/>
        <rFont val="Comic Sans MS"/>
        <family val="4"/>
      </rPr>
      <t>Alt+Enter</t>
    </r>
    <r>
      <rPr>
        <sz val="10"/>
        <color indexed="10"/>
        <rFont val="Comic Sans MS"/>
        <family val="4"/>
      </rPr>
      <t xml:space="preserve"> om een nieuwe regel te beginnen.
Gebruik </t>
    </r>
    <r>
      <rPr>
        <i/>
        <sz val="10"/>
        <color indexed="10"/>
        <rFont val="Comic Sans MS"/>
        <family val="4"/>
      </rPr>
      <t>Enter</t>
    </r>
    <r>
      <rPr>
        <sz val="10"/>
        <color indexed="10"/>
        <rFont val="Comic Sans MS"/>
        <family val="4"/>
      </rPr>
      <t xml:space="preserve"> of </t>
    </r>
    <r>
      <rPr>
        <i/>
        <sz val="10"/>
        <color indexed="10"/>
        <rFont val="Comic Sans MS"/>
        <family val="4"/>
      </rPr>
      <t>Cursor</t>
    </r>
    <r>
      <rPr>
        <sz val="10"/>
        <color indexed="10"/>
        <rFont val="Comic Sans MS"/>
        <family val="4"/>
      </rPr>
      <t xml:space="preserve"> om naar een volgende veld te gaan</t>
    </r>
  </si>
  <si>
    <t xml:space="preserve">Alle kruiden/ additieven met nummers hoger dan 900 niet gebruiken </t>
  </si>
  <si>
    <t>Korrelgisten</t>
  </si>
  <si>
    <t>Vloeibare Wyeast LAGER</t>
  </si>
  <si>
    <t>Vloeibare Wyeast Tarwe-/Witbier</t>
  </si>
  <si>
    <t>Vloeibare Wyeast Lambic</t>
  </si>
  <si>
    <t xml:space="preserve">Vloeibare Wyeast Belgische specialiteiten </t>
  </si>
  <si>
    <t>Opname wort in l/kg mout</t>
  </si>
  <si>
    <t>Inkoken in l/uur</t>
  </si>
  <si>
    <t>Update 3: dec 2010/jan 2011                                             svu/whp/th</t>
  </si>
  <si>
    <t>Tabblad "versie"toegevoegd. Hierin zal worden bijgehouden welke wijzigingen bij elke uitgave zijn/worden aangebracht</t>
  </si>
  <si>
    <t>Tabblad "omrekenen" toegevoegd
Dit blad geeft de relatie tussen Brix, SG (Densiteit) en Plato weer.
Maak een afdruk van dit blad en hang dit in je brouwruimte.</t>
  </si>
  <si>
    <r>
      <t xml:space="preserve">Vakken met een witte achtergrond bevatten formules of verwijzingen en hierin wordt de data automatisch ingevuld zodra de andere cellen ingevuld zijn.
 </t>
    </r>
    <r>
      <rPr>
        <b/>
        <sz val="9"/>
        <rFont val="Comic Sans MS"/>
        <family val="4"/>
      </rPr>
      <t>DUS NIET ZELF BESCHRIJVEN SVP</t>
    </r>
  </si>
  <si>
    <t>Tabblad Berekening Wort: diverse wijzigingen oa berekening benodigd spoelwater. Hiertoe formule in J4 aangepast, K56 toegevoegd en K57 aangepast. Tevens diverse opmerkingen toegevoegd.</t>
  </si>
  <si>
    <t>Update 4: april 2011                                                         svu/whp/th</t>
  </si>
  <si>
    <t>Tabbladen Mout, Hop, Gist, Kruiden verder aangevuld en opmerkingen toegevoegd</t>
  </si>
  <si>
    <t>Laatste update 5: januari 2013                                          svu/whp/th</t>
  </si>
  <si>
    <t>Duitse tarwe bieren</t>
  </si>
  <si>
    <t>Abdijbieren</t>
  </si>
  <si>
    <t>Weihenstephan Weizen</t>
  </si>
  <si>
    <t>Duits Weizen</t>
  </si>
  <si>
    <t>Universeel Weizen bier</t>
  </si>
  <si>
    <t>Lambiek, Oud-bruin en Berliner Weisse</t>
  </si>
  <si>
    <t>Geuze, Lambiek en Oud-bruin</t>
  </si>
  <si>
    <t>Lambiek</t>
  </si>
  <si>
    <t>Pils bieren (Lager)</t>
  </si>
  <si>
    <t>Ales</t>
  </si>
  <si>
    <t>Kölsch</t>
  </si>
  <si>
    <t>Belgische Lambiek</t>
  </si>
  <si>
    <t>Saisons</t>
  </si>
  <si>
    <t>Belgisch Witbier</t>
  </si>
  <si>
    <t>Tarwebier/Witbier</t>
  </si>
  <si>
    <t>Bière de Garde</t>
  </si>
  <si>
    <t>Belgische specialiteiten</t>
  </si>
  <si>
    <t>Klassieke Belgische Ales</t>
  </si>
  <si>
    <t>Vlaams Oud bruin</t>
  </si>
  <si>
    <t>Witbier / Grand-cru</t>
  </si>
  <si>
    <t>Abdijbieren - hoge densiteit</t>
  </si>
  <si>
    <t>Danstar Windsor</t>
  </si>
  <si>
    <t>Danstar Munich</t>
  </si>
  <si>
    <t>CBC-1</t>
  </si>
  <si>
    <t>Britse Ales en Stouts</t>
  </si>
  <si>
    <t>Ales, Stout, Lager, Schwarzbier</t>
  </si>
  <si>
    <t>Alle typen met hoge alcohol</t>
  </si>
  <si>
    <t>BRY-97</t>
  </si>
  <si>
    <t>Lager bieren</t>
  </si>
  <si>
    <t>Korrelgisten droog en koel (&lt;8°C) bewaren</t>
  </si>
  <si>
    <t>o.a. bij Brouwland</t>
  </si>
  <si>
    <t>o.a. bij SBI - Schijndel</t>
  </si>
  <si>
    <t>Vloeibare gist in koelkast (&lt;8°C) bewaren</t>
  </si>
  <si>
    <t>De tabbladen "mout, suiker,hop,gist en kruiden zijn opnieuw ingedeeld en grotendeels van commentaar voorzien. 
Hierbij is gebruik gemaakt van de informatie uit de catalogus van Brouwland-Beverlo en van LABO (Landelijk Amateur Bierbrouwers Overleg).
Maak gebruik van deze info bij het samenstellen van je eigen brouwrecepten.</t>
  </si>
  <si>
    <t>English Ale 514</t>
  </si>
  <si>
    <t>Lager 497</t>
  </si>
  <si>
    <t>Weiss 433</t>
  </si>
  <si>
    <t>maak de brouwketels en spullen schoon</t>
  </si>
  <si>
    <t>Let op: de gele cellen worden gevuld vanuit het tabblad "berekening Wort" en dienen dus niet zelf beschreven te worden. Inde andere vakjes mag je, indien gewenst, je eigen aantekening maken</t>
  </si>
  <si>
    <t>als je gebruik wilt maken van een giststarter, start deze dan tijdig op</t>
  </si>
  <si>
    <t>schroot alle mout</t>
  </si>
  <si>
    <t>vul de brouwketel met water</t>
  </si>
  <si>
    <t>varwarm het water naar</t>
  </si>
  <si>
    <t>verwarm de maisch al roerend met 1°C/min naar</t>
  </si>
  <si>
    <t>8b</t>
  </si>
  <si>
    <t>8c</t>
  </si>
  <si>
    <t>voer de jodium test uit. Als deze nog blauw kijkt, dan de temperatuur vast houden tot de jodium niet meer verkleurt. Dan is nagenoeg alle zetmeel omgezet.</t>
  </si>
  <si>
    <t>als je met de hevel werkt, plaats deze dan in de maischketel</t>
  </si>
  <si>
    <t>start de filtering, rust- en voorlooptijd tot heldere wort</t>
  </si>
  <si>
    <t>verwarm nu snel naar koken</t>
  </si>
  <si>
    <t>kook nu rollend</t>
  </si>
  <si>
    <t>filter nu af met achterlating van de eiwitvlokken en hopresten</t>
  </si>
  <si>
    <t>wacht tot de eiwitvlokken en hopresten naar de bodem zijn gezonken</t>
  </si>
  <si>
    <t xml:space="preserve">plaats het gistvat op een niet tochtende plaats bij </t>
  </si>
  <si>
    <t>sluit het gistvat af met deksel en waterslot</t>
  </si>
  <si>
    <t>snel terug koelen naar vergistingtemperatuur  (&lt;25°C)</t>
  </si>
  <si>
    <t xml:space="preserve">houd de temperatuur vast en warm zonodig bij gedurende </t>
  </si>
  <si>
    <t>lageren in het gistvat, breng de temperatuur langzaam terug met 1°C per dag naar</t>
  </si>
  <si>
    <t>bottel het bier</t>
  </si>
  <si>
    <t>kroonkurk de flessen</t>
  </si>
  <si>
    <t xml:space="preserve">plak er eventueel een etiket op </t>
  </si>
  <si>
    <t>22°C</t>
  </si>
  <si>
    <t>lager de kratten ca 4 tot 5 weken, nu op een koele plek</t>
  </si>
  <si>
    <t>10°C</t>
  </si>
  <si>
    <t>proost!</t>
  </si>
  <si>
    <t>De stappen van het brouwproces</t>
  </si>
  <si>
    <t>zorg voor voldoende lege bierflessen (liefst kleur bruin ivm werken met echte hop)</t>
  </si>
  <si>
    <t>Vul hier de
% alfazuur- waarde van je eigen voorraad in</t>
  </si>
  <si>
    <t>bottelen na ca 5 a 6 weken vanaf de brouwdag (vul de datum in)</t>
  </si>
  <si>
    <t>meet het soortelijk gewicht en noteer dit hier en in je logboek</t>
  </si>
  <si>
    <t>Vakjes met lichtoranje achtergrond hebben betrekking op je installatie en moet je zelf bepalen en zonodig aanpassen.</t>
  </si>
  <si>
    <t>Laatste update 6: maart 2014                                         svu/whp/th</t>
  </si>
  <si>
    <t>Alle tabbladen waar nodig tegen overschrijven beveiligd. Tabblad "processtappen: toegevoegd. Diverse opmerkingen bij "hop" en "mout" toegevoegd. Diverse mouten en hoppen toegevoegd. Brouwschema cursusbier 2014/01 aangepast tov 2013</t>
  </si>
  <si>
    <t>Karamel E150</t>
  </si>
  <si>
    <t>Kandijstroop</t>
  </si>
  <si>
    <t>Kandij-suiker witte brokken</t>
  </si>
  <si>
    <t>Kandij-suiker donkere brokken</t>
  </si>
  <si>
    <t>Berekend te verwachten  S.G. in gistvat</t>
  </si>
  <si>
    <t>flessen van 0,3 ltr     =</t>
  </si>
  <si>
    <t>voeg de geschrote mout al roerend toe</t>
  </si>
  <si>
    <t>houd de temperatuur vast en warm zonodig bij</t>
  </si>
  <si>
    <t>houd de temperatuur vast</t>
  </si>
  <si>
    <t>maak intussen voldoende spoelwater warm van 78 - 80°C</t>
  </si>
  <si>
    <t>filter het wort af  (gelijk in de kookketel)</t>
  </si>
  <si>
    <t>Laatste update 7: nov 2015                                         whp</t>
  </si>
  <si>
    <t>Diverse kleine aanpassingen mbt berekening aantal L spoelwater.  Invullen mout en hop hoeveelheden aangepast. De gekozen manier van invullen heeft geen invloed meer op de vervolg berekeningen. Bottelsuiker beinvloedt niet meer het gemeten SG in het gistvat.</t>
  </si>
  <si>
    <t>Verwacht aantal liters wort in gistvat (bij start gisting)</t>
  </si>
  <si>
    <t>18 - 22C</t>
  </si>
  <si>
    <t>Vermenigvuldigings-factor</t>
  </si>
  <si>
    <t>Vul in willekeurige volgorde in
&lt; ----------&gt;</t>
  </si>
  <si>
    <t>In onderstaande tabel lees je bij een soortelijk gewicht het suiker percentage (stamwort gehalte)  van de oplossing af, uitgedrukt in °Plato (gram/100 gram) en °Brix. Deze tabel geldt alleen voor onvergist wort.</t>
  </si>
  <si>
    <t>Graden Plato tijdens het vergistingproces</t>
  </si>
  <si>
    <t>Spoelen/filteren</t>
  </si>
  <si>
    <r>
      <t xml:space="preserve">gr. </t>
    </r>
    <r>
      <rPr>
        <b/>
        <sz val="10"/>
        <rFont val="Comic Sans MS"/>
        <family val="4"/>
      </rPr>
      <t>Hop</t>
    </r>
    <r>
      <rPr>
        <sz val="10"/>
        <rFont val="Comic Sans MS"/>
        <family val="4"/>
      </rPr>
      <t xml:space="preserve"> (invullen)</t>
    </r>
  </si>
  <si>
    <r>
      <t xml:space="preserve">kg </t>
    </r>
    <r>
      <rPr>
        <b/>
        <sz val="10"/>
        <rFont val="Comic Sans MS"/>
        <family val="4"/>
      </rPr>
      <t>suikers</t>
    </r>
    <r>
      <rPr>
        <sz val="10"/>
        <rFont val="Comic Sans MS"/>
        <family val="4"/>
      </rPr>
      <t xml:space="preserve"> (invullen)  </t>
    </r>
  </si>
  <si>
    <r>
      <t xml:space="preserve">kg </t>
    </r>
    <r>
      <rPr>
        <b/>
        <sz val="11"/>
        <rFont val="Comic Sans MS"/>
        <family val="4"/>
      </rPr>
      <t xml:space="preserve">mout </t>
    </r>
    <r>
      <rPr>
        <sz val="11"/>
        <rFont val="Comic Sans MS"/>
        <family val="4"/>
      </rPr>
      <t xml:space="preserve"> (invullen)</t>
    </r>
  </si>
  <si>
    <t>Let op!  
Je kunt alleen Gele en Mint-kleur vakken  beschrijven als je een recept invult</t>
  </si>
  <si>
    <t>L. Spoelwater (ongeveer)</t>
  </si>
  <si>
    <t>L. Maischwater</t>
  </si>
  <si>
    <t>vol% Alcohol na lagering</t>
  </si>
  <si>
    <t>Vol% Alcohol gebotteld</t>
  </si>
  <si>
    <t>Vakken met een witte achtergrond bevatten formules of verwijzingen en hierin wordt de data automatisch ingevuld zodra de andere cellen ingevuld zijn.
 NIET ZELF BESCHRIJVEN</t>
  </si>
  <si>
    <t>maak nu een wirlpool in de kookketel (flink roeren)</t>
  </si>
  <si>
    <t>belucht nu het wort
(of gebruik een luchtpompje met filter en steentje)</t>
  </si>
  <si>
    <t>wacht tot het meeste schuim weg is alvorens de gist toe te voegen</t>
  </si>
  <si>
    <t>na 4 - 7 dagen hoofdgisting overhevelen in mandfles</t>
  </si>
  <si>
    <t>flessen nogmaals schoon  spoelen met water, chemipro Oxi of iets vergelijkbaars, direct voor het bottelen, naspoelen met water.</t>
  </si>
  <si>
    <t xml:space="preserve">ntueel </t>
  </si>
  <si>
    <t>spoel de buitenkant van de flessen eventueel af met schoon water</t>
  </si>
  <si>
    <t>Zet de flessen weg bij 20- 22C  gedurende 3 - 4 weken</t>
  </si>
  <si>
    <t>na 2 weken het eerste flesje tussentijds proeven.</t>
  </si>
  <si>
    <t xml:space="preserve"> nagisten tot er geen gistactiviteit meer is</t>
  </si>
  <si>
    <t>Laatste update 8:  6 april 2018                                        whp</t>
  </si>
  <si>
    <t>Invullen mout en hop hoeveelheden vereenvoudigd door gebruik van een vermenigvuldigingsfactor. 
Blokkering cellen aangepast</t>
  </si>
  <si>
    <t>basis  recept voor bv 10L</t>
  </si>
  <si>
    <t>Hallertau Blanc</t>
  </si>
  <si>
    <t>blond, apa, saison</t>
  </si>
  <si>
    <t>aromahop, fruitig, kruidig</t>
  </si>
  <si>
    <t>2-5</t>
  </si>
  <si>
    <t>Mangrove Jack's M31</t>
  </si>
  <si>
    <t>M21 BELGIAN WIT YEAST</t>
  </si>
  <si>
    <t>citroen verse schil</t>
  </si>
  <si>
    <t xml:space="preserve">verhoogt body (ook voor wijn)en houd langer de schuimkraag. </t>
  </si>
  <si>
    <t>SafAle BE-256</t>
  </si>
  <si>
    <t>Abdij-bieren.  Hoge alc resist. Fruitig/Esters</t>
  </si>
  <si>
    <t>UniBrew</t>
  </si>
  <si>
    <t>Lallemand Abbaye</t>
  </si>
  <si>
    <t>Belgische abdijbieren Tipel, Dubbel</t>
  </si>
  <si>
    <t xml:space="preserve">bitter en sterk aromatisch </t>
  </si>
  <si>
    <t>Citra</t>
  </si>
  <si>
    <t>IPA, ales</t>
  </si>
  <si>
    <t>Citrus , tropisch fruit</t>
  </si>
  <si>
    <t>1, 4</t>
  </si>
  <si>
    <t>niet</t>
  </si>
  <si>
    <t>Update 3-12-2023 door Wil Peters</t>
  </si>
  <si>
    <t>&lt;--mout totaal        en SG en EBC totalen --&gt;</t>
  </si>
  <si>
    <t>De kleurberekening is aangepast in de versies vanaf 3 dec 2023</t>
  </si>
  <si>
    <t>Saison Eigewies</t>
  </si>
  <si>
    <t>Erik en Hans Willemsen</t>
  </si>
  <si>
    <t>13</t>
  </si>
  <si>
    <t>BOI Munich type 2</t>
  </si>
  <si>
    <t>Giststarter 500 mL</t>
  </si>
  <si>
    <t>1011</t>
  </si>
  <si>
    <t>1012</t>
  </si>
  <si>
    <t xml:space="preserve">Het oorspronkelijke recept was voor 25L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</si>
</sst>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0"/>
    <numFmt numFmtId="165" formatCode="dd/mmm/yy"/>
    <numFmt numFmtId="166" formatCode="0.0%"/>
    <numFmt numFmtId="167" formatCode="0.000"/>
    <numFmt numFmtId="168" formatCode="0.0000"/>
    <numFmt numFmtId="169" formatCode="&quot;S.G.&quot;\ @"/>
    <numFmt numFmtId="170" formatCode="#.#\ &quot;ltr&quot;"/>
    <numFmt numFmtId="171" formatCode="#\ \ &quot;min&quot;"/>
    <numFmt numFmtId="172" formatCode="#\ &quot;min&quot;"/>
    <numFmt numFmtId="173" formatCode="&quot;S.G.&quot;\ #"/>
    <numFmt numFmtId="174" formatCode="#\ \ &quot;%&quot;"/>
    <numFmt numFmtId="175" formatCode="#.#\ \ &quot;%&quot;"/>
    <numFmt numFmtId="176" formatCode="#.0\ \ &quot;%&quot;"/>
    <numFmt numFmtId="177" formatCode="#\ &quot;°C&quot;"/>
    <numFmt numFmtId="178" formatCode="&quot;pH&quot;\ #.0"/>
    <numFmt numFmtId="179" formatCode="#.0\ &quot;ltr&quot;"/>
    <numFmt numFmtId="180" formatCode="#.0\ &quot;uur&quot;"/>
    <numFmt numFmtId="181" formatCode="#.0&quot; °C/min&quot;"/>
    <numFmt numFmtId="182" formatCode="0.#\ &quot;°C/min&quot;"/>
    <numFmt numFmtId="183" formatCode="#.#\ &quot;vol%&quot;"/>
    <numFmt numFmtId="184" formatCode="#.000\ &quot;kg&quot;"/>
    <numFmt numFmtId="185" formatCode="#.00\ &quot;ltr&quot;"/>
    <numFmt numFmtId="186" formatCode="#.0\ &quot;gr/l&quot;"/>
    <numFmt numFmtId="187" formatCode="00.00.00.000"/>
    <numFmt numFmtId="188" formatCode="#.#\ \ &quot;ltr&quot;"/>
    <numFmt numFmtId="189" formatCode="#&quot; min&quot;"/>
    <numFmt numFmtId="190" formatCode="#.0\ &quot;°C&quot;"/>
    <numFmt numFmtId="191" formatCode="\c\a&quot;&quot;\ \ #&quot; min&quot;"/>
    <numFmt numFmtId="192" formatCode="&quot;s.g.&quot;\ @"/>
    <numFmt numFmtId="193" formatCode="#.0\°\ \B\r\i\x"/>
    <numFmt numFmtId="194" formatCode="#.0\ &quot;l/kg&quot;"/>
    <numFmt numFmtId="195" formatCode="#.00\ &quot;X&quot;"/>
    <numFmt numFmtId="196" formatCode="#\ &quot;gr&quot;"/>
  </numFmts>
  <fonts count="80" x14ac:knownFonts="1">
    <font>
      <sz val="10"/>
      <name val="Arial"/>
      <family val="2"/>
    </font>
    <font>
      <sz val="10"/>
      <name val="Comic Sans MS"/>
      <family val="4"/>
    </font>
    <font>
      <b/>
      <sz val="10"/>
      <name val="Comic Sans MS"/>
      <family val="4"/>
    </font>
    <font>
      <i/>
      <sz val="9"/>
      <color indexed="8"/>
      <name val="Comic Sans MS"/>
      <family val="4"/>
    </font>
    <font>
      <sz val="9"/>
      <color indexed="8"/>
      <name val="Comic Sans MS"/>
      <family val="4"/>
    </font>
    <font>
      <b/>
      <sz val="14"/>
      <name val="Comic Sans MS"/>
      <family val="4"/>
    </font>
    <font>
      <b/>
      <sz val="9"/>
      <color indexed="8"/>
      <name val="Comic Sans MS"/>
      <family val="4"/>
    </font>
    <font>
      <b/>
      <sz val="14"/>
      <color indexed="57"/>
      <name val="Comic Sans MS"/>
      <family val="4"/>
    </font>
    <font>
      <b/>
      <sz val="10"/>
      <name val="Arial"/>
      <family val="2"/>
    </font>
    <font>
      <b/>
      <sz val="9"/>
      <name val="Comic Sans MS"/>
      <family val="4"/>
    </font>
    <font>
      <u/>
      <sz val="10"/>
      <color indexed="12"/>
      <name val="Arial"/>
      <family val="2"/>
    </font>
    <font>
      <i/>
      <sz val="8"/>
      <color indexed="8"/>
      <name val="Comic Sans MS"/>
      <family val="4"/>
    </font>
    <font>
      <b/>
      <sz val="8"/>
      <color indexed="8"/>
      <name val="Comic Sans MS"/>
      <family val="4"/>
    </font>
    <font>
      <sz val="8"/>
      <color indexed="8"/>
      <name val="Comic Sans MS"/>
      <family val="4"/>
    </font>
    <font>
      <sz val="8"/>
      <color indexed="8"/>
      <name val="Tahoma"/>
      <family val="2"/>
    </font>
    <font>
      <i/>
      <sz val="8"/>
      <color indexed="8"/>
      <name val="Tahoma"/>
      <family val="2"/>
    </font>
    <font>
      <b/>
      <sz val="16"/>
      <color indexed="10"/>
      <name val="Comic Sans MS"/>
      <family val="4"/>
    </font>
    <font>
      <sz val="9"/>
      <name val="Comic Sans MS"/>
      <family val="4"/>
    </font>
    <font>
      <sz val="10"/>
      <color indexed="48"/>
      <name val="Comic Sans MS"/>
      <family val="4"/>
    </font>
    <font>
      <sz val="9"/>
      <color indexed="8"/>
      <name val="Tahoma"/>
      <family val="2"/>
    </font>
    <font>
      <b/>
      <i/>
      <sz val="10"/>
      <name val="Comic Sans MS"/>
      <family val="4"/>
    </font>
    <font>
      <b/>
      <sz val="8"/>
      <color indexed="8"/>
      <name val="Tahoma"/>
      <family val="2"/>
    </font>
    <font>
      <b/>
      <sz val="11"/>
      <color indexed="8"/>
      <name val="Comic Sans MS"/>
      <family val="4"/>
    </font>
    <font>
      <sz val="8"/>
      <name val="Comic Sans MS"/>
      <family val="4"/>
    </font>
    <font>
      <b/>
      <sz val="10"/>
      <color indexed="10"/>
      <name val="Comic Sans MS"/>
      <family val="4"/>
    </font>
    <font>
      <sz val="10"/>
      <color indexed="57"/>
      <name val="Comic Sans MS"/>
      <family val="4"/>
    </font>
    <font>
      <sz val="10"/>
      <color indexed="48"/>
      <name val="Arial"/>
      <family val="2"/>
    </font>
    <font>
      <b/>
      <sz val="10"/>
      <color indexed="48"/>
      <name val="Comic Sans MS"/>
      <family val="4"/>
    </font>
    <font>
      <sz val="10"/>
      <color indexed="10"/>
      <name val="Comic Sans MS"/>
      <family val="4"/>
    </font>
    <font>
      <sz val="11"/>
      <color indexed="48"/>
      <name val="Comic Sans MS"/>
      <family val="4"/>
    </font>
    <font>
      <sz val="9"/>
      <color indexed="48"/>
      <name val="Comic Sans MS"/>
      <family val="4"/>
    </font>
    <font>
      <b/>
      <sz val="12"/>
      <color indexed="57"/>
      <name val="Comic Sans MS"/>
      <family val="4"/>
    </font>
    <font>
      <sz val="10"/>
      <color indexed="12"/>
      <name val="Comic Sans MS"/>
      <family val="4"/>
    </font>
    <font>
      <b/>
      <sz val="10"/>
      <color indexed="8"/>
      <name val="Arial"/>
      <family val="2"/>
    </font>
    <font>
      <b/>
      <sz val="12"/>
      <name val="Comic Sans MS"/>
      <family val="4"/>
    </font>
    <font>
      <sz val="6"/>
      <name val="Comic Sans MS"/>
      <family val="4"/>
    </font>
    <font>
      <b/>
      <sz val="12"/>
      <color indexed="12"/>
      <name val="Comic Sans MS"/>
      <family val="4"/>
    </font>
    <font>
      <sz val="8"/>
      <color indexed="10"/>
      <name val="Comic Sans MS"/>
      <family val="4"/>
    </font>
    <font>
      <b/>
      <sz val="10"/>
      <color indexed="12"/>
      <name val="Comic Sans MS"/>
      <family val="4"/>
    </font>
    <font>
      <b/>
      <sz val="10"/>
      <color indexed="57"/>
      <name val="Comic Sans MS"/>
      <family val="4"/>
    </font>
    <font>
      <sz val="12"/>
      <name val="Arial"/>
      <family val="2"/>
    </font>
    <font>
      <b/>
      <sz val="12"/>
      <name val="Arial"/>
      <family val="2"/>
    </font>
    <font>
      <sz val="10"/>
      <color indexed="8"/>
      <name val="Comic Sans MS"/>
      <family val="4"/>
    </font>
    <font>
      <b/>
      <sz val="12"/>
      <color indexed="17"/>
      <name val="Comic Sans MS"/>
      <family val="4"/>
    </font>
    <font>
      <b/>
      <sz val="11"/>
      <name val="Comic Sans MS"/>
      <family val="4"/>
    </font>
    <font>
      <sz val="12"/>
      <color indexed="10"/>
      <name val="Comic Sans MS"/>
      <family val="4"/>
    </font>
    <font>
      <sz val="10"/>
      <color indexed="17"/>
      <name val="Comic Sans MS"/>
      <family val="4"/>
    </font>
    <font>
      <sz val="9"/>
      <color indexed="81"/>
      <name val="Tahoma"/>
      <family val="2"/>
    </font>
    <font>
      <sz val="8"/>
      <color indexed="81"/>
      <name val="Tahoma"/>
      <family val="2"/>
    </font>
    <font>
      <i/>
      <sz val="8"/>
      <color indexed="81"/>
      <name val="Tahoma"/>
      <family val="2"/>
    </font>
    <font>
      <i/>
      <sz val="8"/>
      <color indexed="81"/>
      <name val="Comic Sans MS"/>
      <family val="4"/>
    </font>
    <font>
      <sz val="8"/>
      <color indexed="81"/>
      <name val="Comic Sans MS"/>
      <family val="4"/>
    </font>
    <font>
      <b/>
      <sz val="8"/>
      <color indexed="81"/>
      <name val="Tahoma"/>
      <family val="2"/>
    </font>
    <font>
      <b/>
      <sz val="14"/>
      <color indexed="17"/>
      <name val="Comic Sans MS"/>
      <family val="4"/>
    </font>
    <font>
      <b/>
      <sz val="10"/>
      <color indexed="17"/>
      <name val="Comic Sans MS"/>
      <family val="4"/>
    </font>
    <font>
      <b/>
      <sz val="12"/>
      <color indexed="10"/>
      <name val="Comic Sans MS"/>
      <family val="4"/>
    </font>
    <font>
      <b/>
      <sz val="8"/>
      <color indexed="81"/>
      <name val="Comic Sans MS"/>
      <family val="4"/>
    </font>
    <font>
      <i/>
      <sz val="9"/>
      <color indexed="81"/>
      <name val="Comic Sans MS"/>
      <family val="4"/>
    </font>
    <font>
      <sz val="9"/>
      <color indexed="81"/>
      <name val="Comic Sans MS"/>
      <family val="4"/>
    </font>
    <font>
      <b/>
      <sz val="9"/>
      <color indexed="81"/>
      <name val="Comic Sans MS"/>
      <family val="4"/>
    </font>
    <font>
      <b/>
      <sz val="9"/>
      <color indexed="8"/>
      <name val="Tahoma"/>
      <family val="2"/>
    </font>
    <font>
      <b/>
      <sz val="14"/>
      <color indexed="10"/>
      <name val="Comic Sans MS"/>
      <family val="4"/>
    </font>
    <font>
      <b/>
      <sz val="20"/>
      <color indexed="10"/>
      <name val="Comic Sans MS"/>
      <family val="4"/>
    </font>
    <font>
      <sz val="10"/>
      <name val="Arial"/>
      <family val="2"/>
    </font>
    <font>
      <sz val="14"/>
      <color indexed="10"/>
      <name val="Comic Sans MS"/>
      <family val="4"/>
    </font>
    <font>
      <i/>
      <sz val="10"/>
      <name val="Comic Sans MS"/>
      <family val="4"/>
    </font>
    <font>
      <vertAlign val="subscript"/>
      <sz val="10"/>
      <name val="Comic Sans MS"/>
      <family val="4"/>
    </font>
    <font>
      <sz val="12"/>
      <name val="Comic Sans MS"/>
      <family val="4"/>
    </font>
    <font>
      <b/>
      <sz val="10"/>
      <color indexed="8"/>
      <name val="Comic Sans MS"/>
      <family val="4"/>
    </font>
    <font>
      <i/>
      <sz val="10"/>
      <color indexed="10"/>
      <name val="Comic Sans MS"/>
      <family val="4"/>
    </font>
    <font>
      <b/>
      <i/>
      <sz val="8"/>
      <color indexed="81"/>
      <name val="Tahoma"/>
      <family val="2"/>
    </font>
    <font>
      <sz val="9"/>
      <color indexed="17"/>
      <name val="Comic Sans MS"/>
      <family val="4"/>
    </font>
    <font>
      <b/>
      <sz val="16"/>
      <name val="Comic Sans MS"/>
      <family val="4"/>
    </font>
    <font>
      <b/>
      <i/>
      <sz val="12"/>
      <color indexed="57"/>
      <name val="Comic Sans MS"/>
      <family val="4"/>
    </font>
    <font>
      <i/>
      <sz val="12"/>
      <name val="Comic Sans MS"/>
      <family val="4"/>
    </font>
    <font>
      <b/>
      <sz val="9"/>
      <color indexed="81"/>
      <name val="Tahoma"/>
      <family val="2"/>
    </font>
    <font>
      <sz val="11"/>
      <name val="Comic Sans MS"/>
      <family val="4"/>
    </font>
    <font>
      <b/>
      <vertAlign val="superscript"/>
      <sz val="8"/>
      <color indexed="8"/>
      <name val="Comic Sans MS"/>
      <family val="4"/>
    </font>
    <font>
      <b/>
      <i/>
      <sz val="9"/>
      <color indexed="8"/>
      <name val="Comic Sans MS"/>
      <family val="4"/>
    </font>
    <font>
      <sz val="10"/>
      <color rgb="FF0070C0"/>
      <name val="Comic Sans MS"/>
      <family val="4"/>
    </font>
  </fonts>
  <fills count="21">
    <fill>
      <patternFill patternType="none"/>
    </fill>
    <fill>
      <patternFill patternType="gray125"/>
    </fill>
    <fill>
      <patternFill patternType="solid">
        <fgColor indexed="22"/>
        <bgColor indexed="55"/>
      </patternFill>
    </fill>
    <fill>
      <patternFill patternType="solid">
        <fgColor indexed="15"/>
        <bgColor indexed="35"/>
      </patternFill>
    </fill>
    <fill>
      <patternFill patternType="solid">
        <fgColor indexed="27"/>
        <bgColor indexed="41"/>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26"/>
      </patternFill>
    </fill>
    <fill>
      <patternFill patternType="solid">
        <fgColor indexed="42"/>
        <bgColor indexed="26"/>
      </patternFill>
    </fill>
    <fill>
      <patternFill patternType="solid">
        <fgColor indexed="47"/>
        <bgColor indexed="26"/>
      </patternFill>
    </fill>
    <fill>
      <patternFill patternType="solid">
        <fgColor indexed="47"/>
        <bgColor indexed="64"/>
      </patternFill>
    </fill>
    <fill>
      <patternFill patternType="solid">
        <fgColor indexed="43"/>
        <bgColor indexed="34"/>
      </patternFill>
    </fill>
    <fill>
      <patternFill patternType="solid">
        <fgColor indexed="45"/>
        <bgColor indexed="29"/>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rgb="FFFBC497"/>
        <bgColor indexed="64"/>
      </patternFill>
    </fill>
  </fills>
  <borders count="176">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thin">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64"/>
      </left>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8"/>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8"/>
      </left>
      <right/>
      <top/>
      <bottom style="thin">
        <color indexed="8"/>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style="thin">
        <color indexed="8"/>
      </left>
      <right/>
      <top/>
      <bottom style="thin">
        <color indexed="8"/>
      </bottom>
      <diagonal/>
    </border>
    <border>
      <left style="medium">
        <color indexed="64"/>
      </left>
      <right/>
      <top/>
      <bottom style="medium">
        <color indexed="64"/>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8"/>
      </right>
      <top/>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64"/>
      </bottom>
      <diagonal/>
    </border>
    <border>
      <left/>
      <right style="medium">
        <color indexed="64"/>
      </right>
      <top style="medium">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right style="thin">
        <color indexed="8"/>
      </right>
      <top style="thin">
        <color indexed="8"/>
      </top>
      <bottom/>
      <diagonal/>
    </border>
    <border>
      <left style="thin">
        <color indexed="8"/>
      </left>
      <right style="medium">
        <color indexed="64"/>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8"/>
      </bottom>
      <diagonal/>
    </border>
    <border>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medium">
        <color indexed="64"/>
      </right>
      <top/>
      <bottom style="medium">
        <color indexed="8"/>
      </bottom>
      <diagonal/>
    </border>
    <border>
      <left style="thin">
        <color indexed="8"/>
      </left>
      <right/>
      <top style="medium">
        <color indexed="8"/>
      </top>
      <bottom style="thin">
        <color indexed="64"/>
      </bottom>
      <diagonal/>
    </border>
    <border>
      <left style="medium">
        <color indexed="64"/>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8"/>
      </top>
      <bottom style="thin">
        <color indexed="64"/>
      </bottom>
      <diagonal/>
    </border>
    <border>
      <left style="medium">
        <color indexed="8"/>
      </left>
      <right/>
      <top style="medium">
        <color indexed="8"/>
      </top>
      <bottom style="thin">
        <color indexed="64"/>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medium">
        <color indexed="8"/>
      </right>
      <top style="thin">
        <color indexed="8"/>
      </top>
      <bottom/>
      <diagonal/>
    </border>
    <border>
      <left style="thin">
        <color indexed="8"/>
      </left>
      <right/>
      <top/>
      <bottom style="thin">
        <color indexed="64"/>
      </bottom>
      <diagonal/>
    </border>
    <border>
      <left/>
      <right style="medium">
        <color indexed="64"/>
      </right>
      <top/>
      <bottom style="thin">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64"/>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64"/>
      </right>
      <top style="thin">
        <color indexed="64"/>
      </top>
      <bottom style="thin">
        <color indexed="64"/>
      </bottom>
      <diagonal/>
    </border>
    <border>
      <left style="thin">
        <color indexed="8"/>
      </left>
      <right/>
      <top style="medium">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8"/>
      </right>
      <top/>
      <bottom style="medium">
        <color indexed="8"/>
      </bottom>
      <diagonal/>
    </border>
  </borders>
  <cellStyleXfs count="2">
    <xf numFmtId="0" fontId="0" fillId="0" borderId="0"/>
    <xf numFmtId="0" fontId="10" fillId="0" borderId="0" applyNumberFormat="0" applyFill="0" applyBorder="0" applyAlignment="0" applyProtection="0"/>
  </cellStyleXfs>
  <cellXfs count="682">
    <xf numFmtId="0" fontId="0" fillId="0" borderId="0" xfId="0"/>
    <xf numFmtId="0" fontId="0" fillId="0" borderId="0" xfId="0" applyFill="1" applyBorder="1"/>
    <xf numFmtId="0" fontId="1" fillId="0" borderId="0" xfId="0" applyFont="1" applyFill="1" applyBorder="1"/>
    <xf numFmtId="0" fontId="2" fillId="0" borderId="0" xfId="0" applyFont="1" applyFill="1" applyBorder="1"/>
    <xf numFmtId="0" fontId="8" fillId="0" borderId="0" xfId="0" applyFont="1" applyFill="1" applyBorder="1"/>
    <xf numFmtId="2" fontId="16"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0" borderId="0" xfId="0" applyNumberFormat="1" applyFont="1" applyFill="1" applyBorder="1"/>
    <xf numFmtId="0" fontId="18" fillId="0" borderId="4" xfId="0" applyFont="1" applyFill="1" applyBorder="1" applyAlignment="1">
      <alignment vertical="center"/>
    </xf>
    <xf numFmtId="164" fontId="18" fillId="0" borderId="0" xfId="0" applyNumberFormat="1" applyFont="1" applyFill="1" applyBorder="1" applyAlignment="1">
      <alignment horizontal="center" vertical="center"/>
    </xf>
    <xf numFmtId="1" fontId="18" fillId="0" borderId="4"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1" fontId="18" fillId="0" borderId="6"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0" fontId="1" fillId="2" borderId="3" xfId="0" applyFont="1" applyFill="1" applyBorder="1" applyAlignment="1">
      <alignment horizontal="center" vertical="center" textRotation="90"/>
    </xf>
    <xf numFmtId="164" fontId="1" fillId="2"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xf>
    <xf numFmtId="0" fontId="18" fillId="0" borderId="8" xfId="0" applyFont="1" applyFill="1" applyBorder="1" applyAlignment="1">
      <alignment vertical="center"/>
    </xf>
    <xf numFmtId="1" fontId="18" fillId="0" borderId="8"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0" fontId="0" fillId="0" borderId="0" xfId="0" applyFont="1" applyFill="1" applyBorder="1"/>
    <xf numFmtId="164" fontId="18" fillId="0"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0" xfId="0" applyNumberFormat="1" applyFont="1" applyFill="1" applyBorder="1"/>
    <xf numFmtId="164"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xf numFmtId="2"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1" fontId="1" fillId="0" borderId="0" xfId="0" applyNumberFormat="1" applyFont="1" applyFill="1" applyBorder="1" applyProtection="1">
      <protection locked="0"/>
    </xf>
    <xf numFmtId="167" fontId="1" fillId="0" borderId="0" xfId="0" applyNumberFormat="1" applyFont="1" applyFill="1" applyBorder="1"/>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1" fontId="32"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64" fontId="2" fillId="0" borderId="0" xfId="0" applyNumberFormat="1" applyFont="1" applyFill="1" applyBorder="1" applyAlignment="1">
      <alignment horizontal="right"/>
    </xf>
    <xf numFmtId="1" fontId="2" fillId="0" borderId="0" xfId="0" applyNumberFormat="1" applyFont="1" applyFill="1" applyBorder="1"/>
    <xf numFmtId="2" fontId="2" fillId="0" borderId="0" xfId="0" applyNumberFormat="1" applyFont="1" applyFill="1" applyBorder="1"/>
    <xf numFmtId="2" fontId="2" fillId="0" borderId="10" xfId="0" applyNumberFormat="1" applyFont="1" applyFill="1" applyBorder="1" applyAlignment="1">
      <alignment horizontal="right"/>
    </xf>
    <xf numFmtId="0" fontId="2" fillId="0" borderId="11" xfId="0" applyFont="1" applyFill="1" applyBorder="1" applyAlignment="1">
      <alignment horizontal="left"/>
    </xf>
    <xf numFmtId="0" fontId="2" fillId="0" borderId="11" xfId="0" applyFont="1" applyFill="1" applyBorder="1"/>
    <xf numFmtId="0" fontId="1" fillId="0" borderId="11" xfId="0" applyFont="1" applyFill="1" applyBorder="1" applyAlignment="1">
      <alignment horizontal="center"/>
    </xf>
    <xf numFmtId="0" fontId="1" fillId="0" borderId="11" xfId="0" applyFont="1" applyFill="1" applyBorder="1"/>
    <xf numFmtId="0" fontId="1" fillId="0" borderId="12" xfId="0" applyFont="1" applyFill="1" applyBorder="1"/>
    <xf numFmtId="2" fontId="2" fillId="0" borderId="13" xfId="0" applyNumberFormat="1"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horizontal="right"/>
    </xf>
    <xf numFmtId="0" fontId="2" fillId="0" borderId="14" xfId="0" applyFont="1" applyFill="1" applyBorder="1"/>
    <xf numFmtId="0" fontId="2" fillId="3" borderId="13" xfId="0" applyFont="1" applyFill="1" applyBorder="1"/>
    <xf numFmtId="0" fontId="2" fillId="0" borderId="15" xfId="0" applyFont="1" applyFill="1" applyBorder="1"/>
    <xf numFmtId="164" fontId="2" fillId="0" borderId="15" xfId="0" applyNumberFormat="1" applyFont="1" applyFill="1" applyBorder="1"/>
    <xf numFmtId="168" fontId="2" fillId="0" borderId="15" xfId="0" applyNumberFormat="1" applyFont="1" applyFill="1" applyBorder="1"/>
    <xf numFmtId="168" fontId="1" fillId="0" borderId="16" xfId="0" applyNumberFormat="1" applyFont="1" applyFill="1" applyBorder="1"/>
    <xf numFmtId="2" fontId="1" fillId="0" borderId="17" xfId="0" applyNumberFormat="1" applyFont="1" applyFill="1" applyBorder="1" applyProtection="1">
      <protection locked="0"/>
    </xf>
    <xf numFmtId="167" fontId="1" fillId="0" borderId="18" xfId="0" applyNumberFormat="1" applyFont="1" applyFill="1" applyBorder="1"/>
    <xf numFmtId="0" fontId="2" fillId="0" borderId="19" xfId="0" applyFont="1" applyFill="1" applyBorder="1"/>
    <xf numFmtId="168" fontId="1" fillId="0" borderId="18" xfId="0" applyNumberFormat="1" applyFont="1" applyFill="1" applyBorder="1"/>
    <xf numFmtId="2" fontId="1" fillId="0" borderId="17" xfId="0" applyNumberFormat="1" applyFont="1" applyFill="1" applyBorder="1"/>
    <xf numFmtId="167" fontId="1" fillId="0" borderId="0" xfId="0" applyNumberFormat="1" applyFont="1" applyFill="1" applyBorder="1" applyAlignment="1">
      <alignment horizontal="center"/>
    </xf>
    <xf numFmtId="167" fontId="1" fillId="0" borderId="18" xfId="0" applyNumberFormat="1" applyFont="1" applyFill="1" applyBorder="1" applyAlignment="1">
      <alignment horizontal="center"/>
    </xf>
    <xf numFmtId="164" fontId="2" fillId="0" borderId="0" xfId="0" applyNumberFormat="1" applyFont="1" applyFill="1" applyBorder="1"/>
    <xf numFmtId="0" fontId="1" fillId="0" borderId="19" xfId="0" applyFont="1" applyFill="1" applyBorder="1" applyAlignment="1">
      <alignment horizontal="center"/>
    </xf>
    <xf numFmtId="0" fontId="1" fillId="0" borderId="19" xfId="0" applyFont="1" applyFill="1" applyBorder="1"/>
    <xf numFmtId="0" fontId="1" fillId="0" borderId="20" xfId="0" applyFont="1" applyFill="1" applyBorder="1"/>
    <xf numFmtId="0" fontId="1" fillId="0" borderId="21" xfId="0" applyFont="1" applyFill="1" applyBorder="1"/>
    <xf numFmtId="2" fontId="1" fillId="0" borderId="21" xfId="0" applyNumberFormat="1" applyFont="1" applyFill="1" applyBorder="1"/>
    <xf numFmtId="0" fontId="2" fillId="0" borderId="20" xfId="0" applyFont="1" applyFill="1" applyBorder="1"/>
    <xf numFmtId="0" fontId="2" fillId="0" borderId="21" xfId="0" applyFont="1" applyFill="1" applyBorder="1"/>
    <xf numFmtId="168" fontId="1" fillId="0" borderId="22" xfId="0" applyNumberFormat="1" applyFont="1" applyFill="1" applyBorder="1"/>
    <xf numFmtId="0" fontId="32" fillId="0" borderId="23" xfId="0" applyFont="1" applyFill="1" applyBorder="1" applyAlignment="1">
      <alignment horizontal="center" vertical="center"/>
    </xf>
    <xf numFmtId="0" fontId="0" fillId="0" borderId="0" xfId="0" applyFont="1" applyFill="1" applyBorder="1" applyAlignment="1">
      <alignment horizontal="right"/>
    </xf>
    <xf numFmtId="2" fontId="1" fillId="0" borderId="24" xfId="0" applyNumberFormat="1" applyFont="1" applyFill="1" applyBorder="1"/>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0" fontId="35" fillId="0" borderId="3" xfId="0" applyFont="1" applyBorder="1" applyAlignment="1">
      <alignment horizontal="center" vertical="center" wrapText="1"/>
    </xf>
    <xf numFmtId="0" fontId="36" fillId="4" borderId="25" xfId="0" applyFont="1" applyFill="1" applyBorder="1" applyAlignment="1">
      <alignment horizontal="center" vertical="center"/>
    </xf>
    <xf numFmtId="1" fontId="36" fillId="4" borderId="26" xfId="0" applyNumberFormat="1" applyFont="1" applyFill="1" applyBorder="1" applyAlignment="1">
      <alignment horizontal="center" vertical="center"/>
    </xf>
    <xf numFmtId="0" fontId="36" fillId="4" borderId="27" xfId="0" applyFont="1" applyFill="1" applyBorder="1" applyAlignment="1">
      <alignment horizontal="center" vertical="center"/>
    </xf>
    <xf numFmtId="164" fontId="36" fillId="4" borderId="28" xfId="0" applyNumberFormat="1" applyFont="1" applyFill="1" applyBorder="1" applyAlignment="1">
      <alignment horizontal="center"/>
    </xf>
    <xf numFmtId="0" fontId="1" fillId="0" borderId="1" xfId="0" applyFont="1" applyBorder="1" applyAlignment="1">
      <alignment horizontal="center" vertical="center"/>
    </xf>
    <xf numFmtId="0" fontId="1" fillId="0" borderId="29" xfId="0" applyFont="1" applyFill="1" applyBorder="1" applyAlignment="1">
      <alignment horizontal="center" vertical="center"/>
    </xf>
    <xf numFmtId="164" fontId="38" fillId="0" borderId="30" xfId="0" applyNumberFormat="1" applyFont="1" applyBorder="1" applyAlignment="1">
      <alignment horizontal="center"/>
    </xf>
    <xf numFmtId="164" fontId="39" fillId="0" borderId="30" xfId="0" applyNumberFormat="1" applyFont="1" applyBorder="1" applyAlignment="1">
      <alignment horizontal="center"/>
    </xf>
    <xf numFmtId="164" fontId="24" fillId="0" borderId="31" xfId="0" applyNumberFormat="1" applyFont="1" applyBorder="1" applyAlignment="1">
      <alignment horizontal="center"/>
    </xf>
    <xf numFmtId="9" fontId="2" fillId="0" borderId="32" xfId="0" applyNumberFormat="1" applyFont="1" applyBorder="1" applyAlignment="1">
      <alignment horizontal="center"/>
    </xf>
    <xf numFmtId="164" fontId="38" fillId="0" borderId="33" xfId="0" applyNumberFormat="1" applyFont="1" applyBorder="1" applyAlignment="1">
      <alignment horizontal="center"/>
    </xf>
    <xf numFmtId="164" fontId="39" fillId="0" borderId="33" xfId="0" applyNumberFormat="1" applyFont="1" applyBorder="1" applyAlignment="1">
      <alignment horizontal="center"/>
    </xf>
    <xf numFmtId="164" fontId="24" fillId="0" borderId="34" xfId="0" applyNumberFormat="1" applyFont="1" applyBorder="1" applyAlignment="1">
      <alignment horizontal="center"/>
    </xf>
    <xf numFmtId="9" fontId="2" fillId="0" borderId="35" xfId="0" applyNumberFormat="1" applyFont="1" applyBorder="1" applyAlignment="1">
      <alignment horizontal="center"/>
    </xf>
    <xf numFmtId="164" fontId="38" fillId="0" borderId="36" xfId="0" applyNumberFormat="1" applyFont="1" applyBorder="1" applyAlignment="1">
      <alignment horizontal="center"/>
    </xf>
    <xf numFmtId="164" fontId="39" fillId="0" borderId="36" xfId="0" applyNumberFormat="1" applyFont="1" applyBorder="1" applyAlignment="1">
      <alignment horizontal="center"/>
    </xf>
    <xf numFmtId="164" fontId="24" fillId="0" borderId="37" xfId="0" applyNumberFormat="1" applyFont="1" applyBorder="1" applyAlignment="1">
      <alignment horizontal="center"/>
    </xf>
    <xf numFmtId="9" fontId="2" fillId="0" borderId="0" xfId="0" applyNumberFormat="1" applyFont="1" applyBorder="1" applyAlignment="1">
      <alignment horizontal="center"/>
    </xf>
    <xf numFmtId="164" fontId="38" fillId="0" borderId="0" xfId="0" applyNumberFormat="1" applyFont="1" applyBorder="1" applyAlignment="1">
      <alignment horizontal="center"/>
    </xf>
    <xf numFmtId="164" fontId="39" fillId="0" borderId="0" xfId="0" applyNumberFormat="1" applyFont="1" applyBorder="1" applyAlignment="1">
      <alignment horizontal="center"/>
    </xf>
    <xf numFmtId="164" fontId="24" fillId="0" borderId="0" xfId="0" applyNumberFormat="1" applyFont="1" applyBorder="1" applyAlignment="1">
      <alignment horizontal="center"/>
    </xf>
    <xf numFmtId="0" fontId="0" fillId="0" borderId="0" xfId="0" applyBorder="1"/>
    <xf numFmtId="9" fontId="40" fillId="0" borderId="0" xfId="0" applyNumberFormat="1" applyFont="1" applyBorder="1" applyAlignment="1">
      <alignment horizontal="center"/>
    </xf>
    <xf numFmtId="164" fontId="40" fillId="0" borderId="0" xfId="0" applyNumberFormat="1" applyFont="1" applyBorder="1" applyAlignment="1">
      <alignment horizontal="center"/>
    </xf>
    <xf numFmtId="0" fontId="41" fillId="0" borderId="0" xfId="0" applyFont="1" applyFill="1" applyBorder="1" applyAlignment="1">
      <alignment vertical="center"/>
    </xf>
    <xf numFmtId="0" fontId="0"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protection locked="0"/>
    </xf>
    <xf numFmtId="0" fontId="8" fillId="0" borderId="0" xfId="0" applyFont="1"/>
    <xf numFmtId="0" fontId="2" fillId="0" borderId="0"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1" fillId="0" borderId="0" xfId="0" applyFont="1" applyBorder="1"/>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xf numFmtId="49" fontId="1" fillId="0" borderId="0" xfId="0" applyNumberFormat="1" applyFont="1" applyAlignment="1">
      <alignmen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8" fillId="0" borderId="0" xfId="0" applyFont="1" applyAlignment="1">
      <alignment wrapText="1"/>
    </xf>
    <xf numFmtId="2" fontId="1" fillId="0" borderId="0" xfId="0" applyNumberFormat="1" applyFont="1"/>
    <xf numFmtId="2" fontId="1" fillId="0" borderId="0" xfId="0" applyNumberFormat="1" applyFont="1" applyProtection="1">
      <protection locked="0"/>
    </xf>
    <xf numFmtId="0" fontId="44" fillId="0" borderId="0" xfId="0" applyFont="1" applyFill="1" applyBorder="1"/>
    <xf numFmtId="0" fontId="2" fillId="0" borderId="38" xfId="0" applyFont="1" applyFill="1" applyBorder="1" applyAlignment="1">
      <alignment horizontal="center" vertical="center" wrapText="1"/>
    </xf>
    <xf numFmtId="0" fontId="9" fillId="0" borderId="39" xfId="0" applyFont="1" applyBorder="1" applyAlignment="1">
      <alignment horizontal="center" vertical="center"/>
    </xf>
    <xf numFmtId="164" fontId="44" fillId="0" borderId="38" xfId="0" applyNumberFormat="1" applyFont="1" applyFill="1" applyBorder="1" applyAlignment="1">
      <alignment horizontal="center" vertical="center" wrapText="1"/>
    </xf>
    <xf numFmtId="164" fontId="1" fillId="2" borderId="40" xfId="0" applyNumberFormat="1" applyFont="1" applyFill="1" applyBorder="1" applyAlignment="1">
      <alignment horizontal="center" vertical="center"/>
    </xf>
    <xf numFmtId="164" fontId="18" fillId="0" borderId="41" xfId="0" applyNumberFormat="1" applyFont="1" applyFill="1" applyBorder="1" applyAlignment="1">
      <alignment horizontal="center" vertical="center"/>
    </xf>
    <xf numFmtId="0" fontId="5" fillId="0" borderId="0" xfId="0" applyFont="1" applyFill="1" applyBorder="1"/>
    <xf numFmtId="0" fontId="34" fillId="0" borderId="0" xfId="0" applyFont="1" applyFill="1" applyBorder="1"/>
    <xf numFmtId="167" fontId="18" fillId="0" borderId="0" xfId="0" applyNumberFormat="1" applyFont="1" applyFill="1" applyBorder="1" applyAlignment="1"/>
    <xf numFmtId="0" fontId="1" fillId="0" borderId="42" xfId="0" applyFont="1" applyFill="1" applyBorder="1"/>
    <xf numFmtId="0" fontId="18" fillId="0" borderId="0" xfId="0" applyFont="1" applyFill="1" applyBorder="1"/>
    <xf numFmtId="0" fontId="1" fillId="0" borderId="0" xfId="0" applyFont="1" applyBorder="1" applyAlignment="1">
      <alignment horizontal="center" vertical="center"/>
    </xf>
    <xf numFmtId="2" fontId="18" fillId="0" borderId="41" xfId="0" applyNumberFormat="1" applyFont="1" applyFill="1" applyBorder="1" applyAlignment="1">
      <alignment horizontal="center" vertical="center"/>
    </xf>
    <xf numFmtId="0" fontId="18" fillId="0" borderId="43" xfId="0" applyFont="1" applyFill="1" applyBorder="1" applyAlignment="1">
      <alignment horizontal="left" vertical="center"/>
    </xf>
    <xf numFmtId="0" fontId="18" fillId="0" borderId="44" xfId="0" applyFont="1" applyFill="1" applyBorder="1" applyAlignment="1">
      <alignment vertical="center"/>
    </xf>
    <xf numFmtId="164" fontId="18" fillId="0" borderId="45" xfId="0" applyNumberFormat="1" applyFont="1" applyFill="1" applyBorder="1" applyAlignment="1">
      <alignment horizontal="center" vertical="center"/>
    </xf>
    <xf numFmtId="1" fontId="18" fillId="0" borderId="44" xfId="0" applyNumberFormat="1" applyFont="1" applyFill="1" applyBorder="1" applyAlignment="1">
      <alignment horizontal="center" vertical="center"/>
    </xf>
    <xf numFmtId="164" fontId="18" fillId="0" borderId="44" xfId="0" applyNumberFormat="1" applyFont="1" applyFill="1" applyBorder="1" applyAlignment="1">
      <alignment horizontal="center" vertical="center"/>
    </xf>
    <xf numFmtId="0" fontId="23" fillId="2" borderId="3" xfId="0" applyFont="1" applyFill="1" applyBorder="1" applyAlignment="1">
      <alignment horizontal="center" vertical="center" wrapText="1"/>
    </xf>
    <xf numFmtId="164" fontId="1" fillId="2" borderId="46" xfId="0" applyNumberFormat="1" applyFont="1" applyFill="1" applyBorder="1" applyAlignment="1">
      <alignment vertical="center"/>
    </xf>
    <xf numFmtId="0" fontId="1" fillId="2" borderId="47" xfId="0" applyFont="1" applyFill="1" applyBorder="1" applyAlignment="1">
      <alignment horizontal="center" vertical="center" textRotation="90"/>
    </xf>
    <xf numFmtId="0" fontId="2"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textRotation="90"/>
    </xf>
    <xf numFmtId="0" fontId="2" fillId="2" borderId="50" xfId="0" applyFont="1" applyFill="1" applyBorder="1" applyAlignment="1">
      <alignment horizontal="center" vertical="center"/>
    </xf>
    <xf numFmtId="0" fontId="27" fillId="0" borderId="51" xfId="0" applyNumberFormat="1" applyFont="1" applyFill="1" applyBorder="1" applyAlignment="1">
      <alignment horizontal="center" vertical="center"/>
    </xf>
    <xf numFmtId="0" fontId="27" fillId="0" borderId="52" xfId="0" applyNumberFormat="1" applyFont="1" applyFill="1" applyBorder="1" applyAlignment="1">
      <alignment horizontal="center" vertical="center"/>
    </xf>
    <xf numFmtId="0" fontId="28" fillId="0" borderId="53" xfId="0" applyFont="1" applyFill="1" applyBorder="1" applyAlignment="1">
      <alignment horizontal="center" vertical="center"/>
    </xf>
    <xf numFmtId="1" fontId="32" fillId="0" borderId="53" xfId="0" applyNumberFormat="1" applyFont="1" applyFill="1" applyBorder="1" applyAlignment="1">
      <alignment horizontal="center" vertical="center"/>
    </xf>
    <xf numFmtId="173" fontId="18" fillId="0" borderId="1" xfId="0" applyNumberFormat="1" applyFont="1" applyFill="1" applyBorder="1" applyAlignment="1">
      <alignment horizontal="center" vertical="center"/>
    </xf>
    <xf numFmtId="173" fontId="18" fillId="0" borderId="2" xfId="0" applyNumberFormat="1" applyFont="1" applyFill="1" applyBorder="1" applyAlignment="1">
      <alignment horizontal="center" vertical="center"/>
    </xf>
    <xf numFmtId="175" fontId="18" fillId="0" borderId="54"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4" fontId="18" fillId="0" borderId="45" xfId="0" applyNumberFormat="1" applyFont="1" applyFill="1" applyBorder="1" applyAlignment="1">
      <alignment horizontal="center" vertical="center"/>
    </xf>
    <xf numFmtId="174" fontId="18" fillId="0" borderId="1"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171" fontId="18" fillId="0" borderId="49" xfId="0" applyNumberFormat="1" applyFont="1" applyFill="1" applyBorder="1" applyAlignment="1">
      <alignment horizontal="center" vertical="center"/>
    </xf>
    <xf numFmtId="171" fontId="18" fillId="0" borderId="55" xfId="0" applyNumberFormat="1" applyFont="1" applyFill="1" applyBorder="1" applyAlignment="1">
      <alignment horizontal="center" vertical="center"/>
    </xf>
    <xf numFmtId="171" fontId="18" fillId="0" borderId="49" xfId="0" applyNumberFormat="1" applyFont="1" applyFill="1" applyBorder="1" applyAlignment="1">
      <alignment horizontal="center"/>
    </xf>
    <xf numFmtId="0" fontId="53" fillId="0" borderId="56" xfId="0" applyFont="1" applyFill="1" applyBorder="1" applyAlignment="1">
      <alignment horizontal="center" vertical="center"/>
    </xf>
    <xf numFmtId="183" fontId="18" fillId="0" borderId="57" xfId="0" applyNumberFormat="1" applyFont="1" applyFill="1" applyBorder="1" applyAlignment="1">
      <alignment horizontal="center" vertical="center"/>
    </xf>
    <xf numFmtId="0" fontId="1" fillId="2" borderId="41" xfId="0" applyFont="1" applyFill="1" applyBorder="1" applyAlignment="1">
      <alignment horizontal="center" wrapText="1"/>
    </xf>
    <xf numFmtId="49" fontId="62" fillId="0" borderId="0" xfId="0" applyNumberFormat="1" applyFont="1" applyFill="1" applyBorder="1" applyAlignment="1">
      <alignment horizontal="center" vertical="center"/>
    </xf>
    <xf numFmtId="49" fontId="62" fillId="0" borderId="42"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0" fontId="61" fillId="0" borderId="0" xfId="0" applyFont="1" applyFill="1" applyBorder="1" applyAlignment="1">
      <alignment horizontal="left" vertical="center" textRotation="90"/>
    </xf>
    <xf numFmtId="0" fontId="2" fillId="0" borderId="0" xfId="0" applyFont="1" applyFill="1" applyBorder="1" applyAlignment="1">
      <alignment horizontal="center" vertical="center"/>
    </xf>
    <xf numFmtId="9" fontId="2" fillId="5" borderId="32" xfId="0" applyNumberFormat="1" applyFont="1" applyFill="1" applyBorder="1" applyAlignment="1">
      <alignment horizontal="center"/>
    </xf>
    <xf numFmtId="164" fontId="38" fillId="5" borderId="33" xfId="0" applyNumberFormat="1" applyFont="1" applyFill="1" applyBorder="1" applyAlignment="1">
      <alignment horizontal="center"/>
    </xf>
    <xf numFmtId="164" fontId="39" fillId="5" borderId="33" xfId="0" applyNumberFormat="1" applyFont="1" applyFill="1" applyBorder="1" applyAlignment="1">
      <alignment horizontal="center"/>
    </xf>
    <xf numFmtId="164" fontId="24" fillId="5" borderId="34" xfId="0" applyNumberFormat="1" applyFont="1" applyFill="1" applyBorder="1" applyAlignment="1">
      <alignment horizontal="center"/>
    </xf>
    <xf numFmtId="49" fontId="2" fillId="0" borderId="0" xfId="0" applyNumberFormat="1" applyFont="1" applyFill="1" applyBorder="1" applyAlignment="1"/>
    <xf numFmtId="167" fontId="18" fillId="0" borderId="58" xfId="0" applyNumberFormat="1" applyFont="1" applyFill="1" applyBorder="1" applyAlignment="1">
      <alignment horizontal="center" vertical="center"/>
    </xf>
    <xf numFmtId="167" fontId="18" fillId="5" borderId="59" xfId="0" applyNumberFormat="1" applyFont="1" applyFill="1" applyBorder="1" applyAlignment="1">
      <alignment horizontal="center" vertical="center"/>
    </xf>
    <xf numFmtId="167" fontId="18" fillId="0" borderId="60" xfId="0" applyNumberFormat="1" applyFont="1" applyFill="1" applyBorder="1" applyAlignment="1">
      <alignment horizontal="center" vertical="center"/>
    </xf>
    <xf numFmtId="184" fontId="1" fillId="0" borderId="61" xfId="0" applyNumberFormat="1" applyFont="1" applyFill="1" applyBorder="1" applyAlignment="1">
      <alignment horizontal="center"/>
    </xf>
    <xf numFmtId="184" fontId="1" fillId="0" borderId="62" xfId="0" applyNumberFormat="1" applyFont="1" applyFill="1" applyBorder="1" applyAlignment="1">
      <alignment horizontal="center"/>
    </xf>
    <xf numFmtId="185" fontId="1" fillId="0" borderId="63" xfId="0" applyNumberFormat="1" applyFont="1" applyFill="1" applyBorder="1" applyAlignment="1">
      <alignment horizontal="center" vertical="center"/>
    </xf>
    <xf numFmtId="185" fontId="1" fillId="0" borderId="64" xfId="0" applyNumberFormat="1" applyFont="1" applyFill="1" applyBorder="1" applyAlignment="1">
      <alignment horizontal="center" vertical="center"/>
    </xf>
    <xf numFmtId="185" fontId="1" fillId="0" borderId="65" xfId="0" applyNumberFormat="1" applyFont="1" applyFill="1" applyBorder="1" applyAlignment="1">
      <alignment horizontal="center" vertical="center"/>
    </xf>
    <xf numFmtId="185" fontId="2" fillId="0" borderId="53" xfId="0" applyNumberFormat="1" applyFont="1" applyFill="1" applyBorder="1" applyAlignment="1">
      <alignment horizontal="center"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 fillId="0" borderId="0" xfId="0" applyNumberFormat="1" applyFont="1" applyFill="1" applyBorder="1" applyAlignment="1" applyProtection="1">
      <alignment horizontal="left" vertical="top" wrapText="1"/>
      <protection locked="0"/>
    </xf>
    <xf numFmtId="0" fontId="2" fillId="6" borderId="0" xfId="0" applyNumberFormat="1" applyFont="1" applyFill="1" applyBorder="1" applyAlignment="1" applyProtection="1">
      <alignment horizontal="left" vertical="top" wrapText="1"/>
      <protection locked="0"/>
    </xf>
    <xf numFmtId="0" fontId="2" fillId="6" borderId="53" xfId="0" applyNumberFormat="1" applyFont="1"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center"/>
    </xf>
    <xf numFmtId="0" fontId="1" fillId="6" borderId="68" xfId="0" applyFont="1" applyFill="1" applyBorder="1" applyAlignment="1">
      <alignment horizontal="center"/>
    </xf>
    <xf numFmtId="0" fontId="1" fillId="6" borderId="69" xfId="0" applyFont="1" applyFill="1" applyBorder="1" applyAlignment="1">
      <alignment horizontal="center"/>
    </xf>
    <xf numFmtId="0" fontId="1" fillId="6" borderId="70" xfId="0" applyFont="1" applyFill="1" applyBorder="1" applyAlignment="1">
      <alignment horizontal="center"/>
    </xf>
    <xf numFmtId="0" fontId="1" fillId="7" borderId="71" xfId="0" applyFont="1" applyFill="1" applyBorder="1" applyAlignment="1">
      <alignment horizontal="center"/>
    </xf>
    <xf numFmtId="0" fontId="1" fillId="7" borderId="72" xfId="0" applyFont="1" applyFill="1" applyBorder="1" applyAlignment="1">
      <alignment horizontal="center"/>
    </xf>
    <xf numFmtId="0" fontId="1" fillId="7" borderId="73" xfId="0" applyFont="1" applyFill="1" applyBorder="1" applyAlignment="1">
      <alignment horizontal="center"/>
    </xf>
    <xf numFmtId="0" fontId="1" fillId="7" borderId="74" xfId="0" applyFont="1" applyFill="1" applyBorder="1" applyAlignment="1">
      <alignment horizontal="center"/>
    </xf>
    <xf numFmtId="164" fontId="1" fillId="5" borderId="71" xfId="0" applyNumberFormat="1" applyFont="1" applyFill="1" applyBorder="1" applyAlignment="1">
      <alignment horizontal="center"/>
    </xf>
    <xf numFmtId="164" fontId="0" fillId="5" borderId="71" xfId="0" applyNumberFormat="1" applyFill="1" applyBorder="1" applyAlignment="1">
      <alignment horizontal="center"/>
    </xf>
    <xf numFmtId="164" fontId="0" fillId="5" borderId="72" xfId="0" applyNumberFormat="1" applyFill="1" applyBorder="1" applyAlignment="1">
      <alignment horizontal="center"/>
    </xf>
    <xf numFmtId="164" fontId="1" fillId="8" borderId="71" xfId="0" applyNumberFormat="1" applyFont="1" applyFill="1" applyBorder="1" applyAlignment="1">
      <alignment horizontal="center"/>
    </xf>
    <xf numFmtId="164" fontId="1" fillId="8" borderId="72" xfId="0" applyNumberFormat="1" applyFont="1" applyFill="1" applyBorder="1" applyAlignment="1">
      <alignment horizontal="center"/>
    </xf>
    <xf numFmtId="0" fontId="1" fillId="5" borderId="71" xfId="0" applyFont="1" applyFill="1" applyBorder="1" applyAlignment="1">
      <alignment horizontal="center"/>
    </xf>
    <xf numFmtId="0" fontId="1" fillId="5" borderId="72" xfId="0" applyFont="1" applyFill="1" applyBorder="1" applyAlignment="1">
      <alignment horizontal="center"/>
    </xf>
    <xf numFmtId="0" fontId="1" fillId="8" borderId="75" xfId="0" applyFont="1" applyFill="1" applyBorder="1" applyAlignment="1">
      <alignment horizontal="center"/>
    </xf>
    <xf numFmtId="0" fontId="1" fillId="8" borderId="76" xfId="0" applyFont="1" applyFill="1" applyBorder="1" applyAlignment="1">
      <alignment horizontal="center"/>
    </xf>
    <xf numFmtId="0" fontId="0" fillId="5" borderId="0" xfId="0" applyFill="1" applyBorder="1" applyAlignment="1">
      <alignment horizontal="center"/>
    </xf>
    <xf numFmtId="49" fontId="64" fillId="0" borderId="0" xfId="0" applyNumberFormat="1" applyFont="1" applyFill="1" applyBorder="1" applyAlignment="1">
      <alignment horizontal="center" vertical="center" textRotation="90" wrapText="1"/>
    </xf>
    <xf numFmtId="0" fontId="2" fillId="0" borderId="0" xfId="0" applyNumberFormat="1" applyFont="1" applyFill="1" applyBorder="1" applyAlignment="1" applyProtection="1">
      <alignment horizontal="center" vertical="center" wrapText="1"/>
      <protection locked="0"/>
    </xf>
    <xf numFmtId="0" fontId="2" fillId="6"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center"/>
    </xf>
    <xf numFmtId="0" fontId="5" fillId="6" borderId="0" xfId="0" applyFont="1" applyFill="1" applyAlignment="1">
      <alignment horizontal="center" vertical="center"/>
    </xf>
    <xf numFmtId="0" fontId="1" fillId="6" borderId="53" xfId="0"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horizontal="center" vertical="center"/>
    </xf>
    <xf numFmtId="0" fontId="2" fillId="6" borderId="77" xfId="0" applyFont="1" applyFill="1" applyBorder="1" applyAlignment="1">
      <alignment horizontal="center"/>
    </xf>
    <xf numFmtId="0" fontId="2" fillId="6" borderId="78" xfId="0" applyFont="1" applyFill="1" applyBorder="1" applyAlignment="1">
      <alignment horizontal="center" wrapText="1"/>
    </xf>
    <xf numFmtId="0" fontId="2" fillId="6" borderId="0"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wrapText="1"/>
    </xf>
    <xf numFmtId="0" fontId="30" fillId="0" borderId="0" xfId="0" applyFont="1" applyBorder="1" applyAlignment="1" applyProtection="1">
      <alignment horizontal="left" vertical="center"/>
    </xf>
    <xf numFmtId="0" fontId="34" fillId="6" borderId="0" xfId="0" applyFont="1" applyFill="1" applyAlignment="1">
      <alignment horizontal="center" vertical="center"/>
    </xf>
    <xf numFmtId="49" fontId="64" fillId="0" borderId="42" xfId="0" applyNumberFormat="1" applyFont="1" applyFill="1" applyBorder="1" applyAlignment="1">
      <alignment horizontal="center" vertical="center" textRotation="90"/>
    </xf>
    <xf numFmtId="49" fontId="64" fillId="0" borderId="0" xfId="0" applyNumberFormat="1" applyFont="1" applyFill="1" applyBorder="1" applyAlignment="1">
      <alignment horizontal="center" vertical="center" textRotation="90"/>
    </xf>
    <xf numFmtId="0" fontId="2" fillId="0" borderId="0" xfId="0" applyFont="1" applyAlignment="1">
      <alignment wrapText="1"/>
    </xf>
    <xf numFmtId="187" fontId="30" fillId="0" borderId="0" xfId="0" applyNumberFormat="1" applyFont="1" applyBorder="1" applyAlignment="1" applyProtection="1">
      <alignment horizontal="left" vertical="center"/>
    </xf>
    <xf numFmtId="0" fontId="1" fillId="0" borderId="0" xfId="0" applyNumberFormat="1" applyFont="1" applyFill="1" applyBorder="1"/>
    <xf numFmtId="2" fontId="1" fillId="0" borderId="0" xfId="0" applyNumberFormat="1" applyFont="1" applyFill="1" applyBorder="1" applyAlignment="1"/>
    <xf numFmtId="0" fontId="5" fillId="0" borderId="0" xfId="0" applyFont="1" applyFill="1" applyAlignment="1">
      <alignment horizontal="center" vertical="center"/>
    </xf>
    <xf numFmtId="0" fontId="34"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NumberFormat="1" applyFont="1" applyAlignment="1">
      <alignment horizontal="center"/>
    </xf>
    <xf numFmtId="0" fontId="2" fillId="0" borderId="0" xfId="0" applyNumberFormat="1" applyFont="1" applyFill="1" applyBorder="1" applyAlignment="1" applyProtection="1">
      <alignment horizontal="left" vertical="center"/>
      <protection locked="0"/>
    </xf>
    <xf numFmtId="0" fontId="18" fillId="0" borderId="79" xfId="0" applyFont="1" applyBorder="1" applyAlignment="1">
      <alignment horizontal="left"/>
    </xf>
    <xf numFmtId="0" fontId="1" fillId="0" borderId="80" xfId="0" applyFont="1" applyBorder="1" applyAlignment="1">
      <alignment horizontal="center" vertical="center"/>
    </xf>
    <xf numFmtId="0" fontId="61" fillId="6" borderId="0" xfId="0" applyFont="1" applyFill="1" applyAlignment="1">
      <alignment horizontal="center"/>
    </xf>
    <xf numFmtId="0" fontId="2" fillId="6" borderId="81" xfId="0" applyNumberFormat="1" applyFont="1" applyFill="1" applyBorder="1" applyAlignment="1" applyProtection="1">
      <alignment horizontal="center" vertical="center" wrapText="1"/>
      <protection locked="0"/>
    </xf>
    <xf numFmtId="0" fontId="2" fillId="6" borderId="81" xfId="0" applyFont="1" applyFill="1" applyBorder="1" applyAlignment="1">
      <alignment horizontal="left"/>
    </xf>
    <xf numFmtId="0" fontId="1" fillId="6" borderId="81" xfId="0" applyFont="1" applyFill="1" applyBorder="1" applyAlignment="1">
      <alignment wrapText="1"/>
    </xf>
    <xf numFmtId="0" fontId="2" fillId="6" borderId="81" xfId="0" applyFont="1" applyFill="1" applyBorder="1" applyAlignment="1">
      <alignment wrapText="1"/>
    </xf>
    <xf numFmtId="0" fontId="2" fillId="6" borderId="53" xfId="0" applyNumberFormat="1" applyFont="1" applyFill="1" applyBorder="1" applyAlignment="1" applyProtection="1">
      <alignment horizontal="center" vertical="center" wrapText="1"/>
      <protection locked="0"/>
    </xf>
    <xf numFmtId="0" fontId="2" fillId="6" borderId="53"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wrapText="1"/>
    </xf>
    <xf numFmtId="0" fontId="2" fillId="0" borderId="0" xfId="0" applyFont="1" applyFill="1" applyAlignment="1">
      <alignment wrapText="1"/>
    </xf>
    <xf numFmtId="1" fontId="2" fillId="0"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left"/>
    </xf>
    <xf numFmtId="0" fontId="5" fillId="6" borderId="0" xfId="0" applyFont="1" applyFill="1" applyAlignment="1">
      <alignment horizontal="left" vertical="center"/>
    </xf>
    <xf numFmtId="164" fontId="18" fillId="0" borderId="0" xfId="0" applyNumberFormat="1" applyFont="1" applyFill="1" applyBorder="1" applyAlignment="1" applyProtection="1">
      <alignment horizontal="center" vertical="center"/>
    </xf>
    <xf numFmtId="1" fontId="18" fillId="0" borderId="4" xfId="0" applyNumberFormat="1" applyFont="1" applyFill="1" applyBorder="1" applyAlignment="1" applyProtection="1">
      <alignment horizontal="center" vertical="center"/>
    </xf>
    <xf numFmtId="0" fontId="23" fillId="0" borderId="82" xfId="0" applyFont="1" applyFill="1" applyBorder="1" applyAlignment="1">
      <alignment horizontal="center" vertical="top" wrapText="1"/>
    </xf>
    <xf numFmtId="180" fontId="22" fillId="9" borderId="83"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left" vertical="top" wrapText="1" indent="1"/>
    </xf>
    <xf numFmtId="0" fontId="1" fillId="0" borderId="0" xfId="0" applyFont="1" applyAlignment="1">
      <alignment horizontal="center" vertical="top"/>
    </xf>
    <xf numFmtId="0" fontId="17" fillId="0" borderId="49" xfId="0" applyFont="1" applyBorder="1" applyAlignment="1">
      <alignment horizontal="left" vertical="top" wrapText="1" indent="1"/>
    </xf>
    <xf numFmtId="0" fontId="1" fillId="0" borderId="49" xfId="0" applyFont="1" applyBorder="1" applyAlignment="1">
      <alignment horizontal="left" vertical="top" wrapText="1" indent="1"/>
    </xf>
    <xf numFmtId="0" fontId="65" fillId="0" borderId="49" xfId="0" applyFont="1" applyBorder="1" applyAlignment="1">
      <alignment horizontal="left" vertical="top" wrapText="1" indent="1"/>
    </xf>
    <xf numFmtId="0" fontId="0" fillId="0" borderId="49" xfId="0" applyBorder="1" applyAlignment="1">
      <alignment horizontal="left" vertical="top" wrapText="1" indent="1"/>
    </xf>
    <xf numFmtId="177" fontId="1" fillId="10" borderId="55" xfId="0" applyNumberFormat="1" applyFont="1" applyFill="1" applyBorder="1" applyAlignment="1">
      <alignment horizontal="center" vertical="center"/>
    </xf>
    <xf numFmtId="0" fontId="1" fillId="10" borderId="55" xfId="0" applyFont="1" applyFill="1" applyBorder="1" applyAlignment="1">
      <alignment horizontal="center" vertical="center"/>
    </xf>
    <xf numFmtId="0" fontId="17" fillId="10" borderId="49" xfId="0" applyFont="1" applyFill="1" applyBorder="1" applyAlignment="1">
      <alignment horizontal="center" vertical="top" wrapText="1"/>
    </xf>
    <xf numFmtId="0" fontId="1" fillId="0" borderId="84" xfId="0" applyFont="1" applyBorder="1" applyAlignment="1">
      <alignment horizontal="center"/>
    </xf>
    <xf numFmtId="0" fontId="17" fillId="0" borderId="84" xfId="0" applyFont="1" applyFill="1" applyBorder="1" applyAlignment="1">
      <alignment horizontal="center" vertical="top" wrapText="1"/>
    </xf>
    <xf numFmtId="0" fontId="17" fillId="0" borderId="55" xfId="0" applyFont="1" applyFill="1" applyBorder="1" applyAlignment="1">
      <alignment horizontal="center" vertical="top" wrapText="1"/>
    </xf>
    <xf numFmtId="0" fontId="8" fillId="0" borderId="85" xfId="0" applyFont="1" applyBorder="1" applyAlignment="1">
      <alignment horizontal="left" vertical="top" wrapText="1" indent="1"/>
    </xf>
    <xf numFmtId="0" fontId="1" fillId="0" borderId="55" xfId="0" applyFont="1" applyBorder="1" applyAlignment="1">
      <alignment horizontal="center" vertical="center"/>
    </xf>
    <xf numFmtId="179" fontId="1" fillId="10" borderId="55" xfId="0" applyNumberFormat="1" applyFont="1" applyFill="1" applyBorder="1" applyAlignment="1">
      <alignment horizontal="center" vertical="center"/>
    </xf>
    <xf numFmtId="189" fontId="1" fillId="10" borderId="55" xfId="0" applyNumberFormat="1" applyFont="1" applyFill="1" applyBorder="1" applyAlignment="1">
      <alignment horizontal="center" vertical="center"/>
    </xf>
    <xf numFmtId="190" fontId="1" fillId="10" borderId="55" xfId="0" applyNumberFormat="1" applyFont="1" applyFill="1" applyBorder="1" applyAlignment="1">
      <alignment horizontal="center" vertical="center"/>
    </xf>
    <xf numFmtId="0" fontId="1" fillId="0" borderId="83" xfId="0" applyFont="1" applyBorder="1" applyAlignment="1">
      <alignment horizontal="center" vertical="center"/>
    </xf>
    <xf numFmtId="0" fontId="7" fillId="11" borderId="39" xfId="0" applyFont="1" applyFill="1" applyBorder="1" applyAlignment="1" applyProtection="1">
      <alignment horizontal="center"/>
      <protection locked="0"/>
    </xf>
    <xf numFmtId="186" fontId="43" fillId="11" borderId="2" xfId="0" applyNumberFormat="1" applyFont="1" applyFill="1" applyBorder="1" applyAlignment="1" applyProtection="1">
      <alignment horizontal="center" vertical="center"/>
      <protection locked="0"/>
    </xf>
    <xf numFmtId="172" fontId="43" fillId="11" borderId="82" xfId="0" applyNumberFormat="1" applyFont="1" applyFill="1" applyBorder="1" applyAlignment="1" applyProtection="1">
      <alignment horizontal="center" vertical="center"/>
      <protection locked="0"/>
    </xf>
    <xf numFmtId="179" fontId="43" fillId="11" borderId="82" xfId="0" applyNumberFormat="1" applyFont="1" applyFill="1" applyBorder="1" applyAlignment="1" applyProtection="1">
      <alignment horizontal="center" vertical="center"/>
      <protection locked="0"/>
    </xf>
    <xf numFmtId="0" fontId="39" fillId="11" borderId="4" xfId="0" applyFont="1" applyFill="1" applyBorder="1" applyAlignment="1" applyProtection="1">
      <alignment horizontal="center" vertical="center"/>
      <protection locked="0"/>
    </xf>
    <xf numFmtId="0" fontId="39" fillId="7" borderId="77" xfId="0" applyFont="1" applyFill="1" applyBorder="1" applyAlignment="1" applyProtection="1">
      <alignment horizontal="center"/>
      <protection locked="0"/>
    </xf>
    <xf numFmtId="0" fontId="39" fillId="7" borderId="6" xfId="0" applyFont="1" applyFill="1" applyBorder="1" applyAlignment="1" applyProtection="1">
      <alignment horizontal="center" vertical="center"/>
      <protection locked="0"/>
    </xf>
    <xf numFmtId="0" fontId="39" fillId="11" borderId="44" xfId="0" applyFont="1" applyFill="1" applyBorder="1" applyAlignment="1" applyProtection="1">
      <alignment horizontal="center" vertical="center"/>
      <protection locked="0"/>
    </xf>
    <xf numFmtId="0" fontId="39" fillId="7" borderId="8" xfId="0" applyFont="1" applyFill="1" applyBorder="1" applyAlignment="1" applyProtection="1">
      <alignment horizontal="center" vertical="center"/>
      <protection locked="0"/>
    </xf>
    <xf numFmtId="0" fontId="39" fillId="11" borderId="77" xfId="0" applyFont="1" applyFill="1" applyBorder="1" applyAlignment="1" applyProtection="1">
      <alignment horizontal="center" vertical="center"/>
      <protection locked="0"/>
    </xf>
    <xf numFmtId="0" fontId="39" fillId="11" borderId="67" xfId="0" applyFont="1" applyFill="1" applyBorder="1" applyAlignment="1" applyProtection="1">
      <alignment horizontal="center" vertical="center"/>
      <protection locked="0"/>
    </xf>
    <xf numFmtId="172" fontId="39" fillId="11" borderId="0" xfId="0" applyNumberFormat="1" applyFont="1" applyFill="1" applyBorder="1" applyAlignment="1" applyProtection="1">
      <alignment horizontal="center" vertical="center"/>
      <protection locked="0"/>
    </xf>
    <xf numFmtId="164" fontId="39" fillId="11" borderId="86" xfId="0" applyNumberFormat="1" applyFont="1" applyFill="1" applyBorder="1" applyAlignment="1" applyProtection="1">
      <alignment horizontal="center" vertical="center"/>
      <protection locked="0"/>
    </xf>
    <xf numFmtId="164" fontId="39" fillId="11" borderId="0" xfId="0" applyNumberFormat="1" applyFont="1" applyFill="1" applyBorder="1" applyAlignment="1" applyProtection="1">
      <alignment horizontal="center" vertical="center"/>
      <protection locked="0"/>
    </xf>
    <xf numFmtId="164" fontId="39" fillId="11" borderId="87" xfId="0" applyNumberFormat="1" applyFont="1" applyFill="1" applyBorder="1" applyAlignment="1" applyProtection="1">
      <alignment horizontal="center" vertical="center"/>
      <protection locked="0"/>
    </xf>
    <xf numFmtId="164" fontId="25" fillId="7" borderId="59" xfId="0" applyNumberFormat="1" applyFont="1" applyFill="1" applyBorder="1" applyAlignment="1" applyProtection="1">
      <alignment horizontal="center" vertical="center"/>
      <protection locked="0"/>
    </xf>
    <xf numFmtId="0" fontId="54" fillId="7" borderId="66" xfId="0" applyNumberFormat="1" applyFont="1" applyFill="1" applyBorder="1" applyAlignment="1" applyProtection="1">
      <alignment horizontal="center" vertical="center"/>
      <protection locked="0"/>
    </xf>
    <xf numFmtId="0" fontId="54" fillId="11" borderId="66" xfId="0" applyFont="1" applyFill="1" applyBorder="1" applyAlignment="1" applyProtection="1">
      <alignment horizontal="center" vertical="center"/>
      <protection locked="0"/>
    </xf>
    <xf numFmtId="164" fontId="18" fillId="7" borderId="59" xfId="0" applyNumberFormat="1" applyFont="1" applyFill="1" applyBorder="1" applyAlignment="1" applyProtection="1">
      <alignment horizontal="center" vertical="center"/>
      <protection locked="0"/>
    </xf>
    <xf numFmtId="0" fontId="54" fillId="7" borderId="66" xfId="0" applyFont="1" applyFill="1" applyBorder="1" applyAlignment="1" applyProtection="1">
      <alignment horizontal="center"/>
      <protection locked="0"/>
    </xf>
    <xf numFmtId="0" fontId="18" fillId="7" borderId="88" xfId="0" applyFont="1" applyFill="1" applyBorder="1" applyAlignment="1" applyProtection="1">
      <alignment horizontal="center" vertical="center"/>
      <protection locked="0"/>
    </xf>
    <xf numFmtId="0" fontId="54" fillId="11" borderId="79" xfId="0" applyFont="1" applyFill="1" applyBorder="1" applyAlignment="1" applyProtection="1">
      <alignment horizontal="center" vertical="center"/>
      <protection locked="0"/>
    </xf>
    <xf numFmtId="165" fontId="18" fillId="5" borderId="49" xfId="0" applyNumberFormat="1" applyFont="1" applyFill="1" applyBorder="1" applyAlignment="1" applyProtection="1">
      <alignment horizontal="center" vertical="center"/>
      <protection locked="0"/>
    </xf>
    <xf numFmtId="169" fontId="18" fillId="5" borderId="49" xfId="0" applyNumberFormat="1" applyFont="1" applyFill="1" applyBorder="1" applyAlignment="1" applyProtection="1">
      <alignment horizontal="center" vertical="center"/>
      <protection locked="0"/>
    </xf>
    <xf numFmtId="0" fontId="39" fillId="7" borderId="84" xfId="0" applyNumberFormat="1" applyFont="1" applyFill="1" applyBorder="1" applyAlignment="1" applyProtection="1">
      <alignment horizontal="center"/>
      <protection locked="0"/>
    </xf>
    <xf numFmtId="0" fontId="39" fillId="7" borderId="49" xfId="0" applyNumberFormat="1" applyFont="1" applyFill="1" applyBorder="1" applyAlignment="1" applyProtection="1">
      <alignment horizontal="center"/>
      <protection locked="0"/>
    </xf>
    <xf numFmtId="178" fontId="1" fillId="12" borderId="84" xfId="0" applyNumberFormat="1" applyFont="1" applyFill="1" applyBorder="1" applyAlignment="1" applyProtection="1">
      <alignment horizontal="center" vertical="center"/>
      <protection locked="0"/>
    </xf>
    <xf numFmtId="178" fontId="1" fillId="12" borderId="49" xfId="0" applyNumberFormat="1" applyFont="1" applyFill="1" applyBorder="1" applyAlignment="1" applyProtection="1">
      <alignment horizontal="center" vertical="center"/>
      <protection locked="0"/>
    </xf>
    <xf numFmtId="178" fontId="1" fillId="12" borderId="55" xfId="0" applyNumberFormat="1" applyFont="1" applyFill="1" applyBorder="1" applyAlignment="1" applyProtection="1">
      <alignment horizontal="center" vertical="center"/>
      <protection locked="0"/>
    </xf>
    <xf numFmtId="0" fontId="18" fillId="12" borderId="89" xfId="0" applyFont="1" applyFill="1" applyBorder="1" applyAlignment="1" applyProtection="1">
      <alignment horizontal="center" vertical="center"/>
      <protection locked="0"/>
    </xf>
    <xf numFmtId="0" fontId="18" fillId="12" borderId="90" xfId="0" applyFont="1" applyFill="1" applyBorder="1" applyAlignment="1" applyProtection="1">
      <alignment horizontal="center" vertical="center"/>
      <protection locked="0"/>
    </xf>
    <xf numFmtId="0" fontId="18" fillId="12" borderId="91" xfId="0" applyFont="1" applyFill="1" applyBorder="1" applyAlignment="1" applyProtection="1">
      <alignment horizontal="center" vertical="center"/>
      <protection locked="0"/>
    </xf>
    <xf numFmtId="181" fontId="1" fillId="13" borderId="52" xfId="0" applyNumberFormat="1" applyFont="1" applyFill="1" applyBorder="1" applyAlignment="1" applyProtection="1">
      <alignment horizontal="center" vertical="center"/>
      <protection locked="0"/>
    </xf>
    <xf numFmtId="182" fontId="1" fillId="13" borderId="55" xfId="0" applyNumberFormat="1" applyFont="1" applyFill="1" applyBorder="1" applyAlignment="1" applyProtection="1">
      <alignment horizontal="center" vertical="center"/>
      <protection locked="0"/>
    </xf>
    <xf numFmtId="181" fontId="1" fillId="13" borderId="83" xfId="0" applyNumberFormat="1" applyFont="1" applyFill="1" applyBorder="1" applyAlignment="1" applyProtection="1">
      <alignment horizontal="center" vertical="center"/>
      <protection locked="0"/>
    </xf>
    <xf numFmtId="185" fontId="42" fillId="14" borderId="52" xfId="0" applyNumberFormat="1" applyFont="1" applyFill="1" applyBorder="1" applyAlignment="1" applyProtection="1">
      <alignment horizontal="center"/>
      <protection locked="0"/>
    </xf>
    <xf numFmtId="185" fontId="42" fillId="14" borderId="92" xfId="0" applyNumberFormat="1" applyFont="1" applyFill="1" applyBorder="1" applyAlignment="1" applyProtection="1">
      <alignment horizontal="center" vertical="center"/>
      <protection locked="0"/>
    </xf>
    <xf numFmtId="193" fontId="1" fillId="12" borderId="93" xfId="0" applyNumberFormat="1" applyFont="1" applyFill="1" applyBorder="1" applyAlignment="1" applyProtection="1">
      <alignment horizontal="center" vertical="center"/>
      <protection locked="0"/>
    </xf>
    <xf numFmtId="193" fontId="1" fillId="12" borderId="85" xfId="0" applyNumberFormat="1" applyFont="1" applyFill="1" applyBorder="1" applyAlignment="1" applyProtection="1">
      <alignment horizontal="center" vertical="center"/>
      <protection locked="0"/>
    </xf>
    <xf numFmtId="193" fontId="1" fillId="12" borderId="94" xfId="0" applyNumberFormat="1" applyFont="1" applyFill="1" applyBorder="1" applyAlignment="1" applyProtection="1">
      <alignment horizontal="center" vertical="center"/>
      <protection locked="0"/>
    </xf>
    <xf numFmtId="193" fontId="1" fillId="12" borderId="83" xfId="0" applyNumberFormat="1" applyFont="1" applyFill="1" applyBorder="1" applyAlignment="1" applyProtection="1">
      <alignment horizontal="center" vertical="center"/>
      <protection locked="0"/>
    </xf>
    <xf numFmtId="191" fontId="1" fillId="14" borderId="55" xfId="0" applyNumberFormat="1" applyFont="1" applyFill="1" applyBorder="1" applyAlignment="1" applyProtection="1">
      <alignment horizontal="center" vertical="center"/>
      <protection locked="0"/>
    </xf>
    <xf numFmtId="192" fontId="1" fillId="14" borderId="55" xfId="0" applyNumberFormat="1" applyFont="1" applyFill="1" applyBorder="1" applyAlignment="1" applyProtection="1">
      <alignment horizontal="center" vertical="center"/>
      <protection locked="0"/>
    </xf>
    <xf numFmtId="15" fontId="1" fillId="14" borderId="55" xfId="0" applyNumberFormat="1" applyFont="1" applyFill="1" applyBorder="1" applyAlignment="1" applyProtection="1">
      <alignment horizontal="center" vertical="center"/>
      <protection locked="0"/>
    </xf>
    <xf numFmtId="165" fontId="1" fillId="14" borderId="55" xfId="0" applyNumberFormat="1" applyFont="1" applyFill="1" applyBorder="1" applyAlignment="1" applyProtection="1">
      <alignment horizontal="center" vertical="center"/>
      <protection locked="0"/>
    </xf>
    <xf numFmtId="0" fontId="1" fillId="6" borderId="66" xfId="0" applyFont="1" applyFill="1" applyBorder="1" applyAlignment="1">
      <alignment horizontal="center" vertical="center" wrapText="1"/>
    </xf>
    <xf numFmtId="49" fontId="1" fillId="6" borderId="66" xfId="0" applyNumberFormat="1"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textRotation="90"/>
    </xf>
    <xf numFmtId="0" fontId="34" fillId="0" borderId="0" xfId="0" applyFont="1" applyAlignment="1">
      <alignment vertical="center"/>
    </xf>
    <xf numFmtId="49" fontId="1" fillId="0" borderId="0" xfId="0" applyNumberFormat="1" applyFont="1" applyAlignment="1">
      <alignment horizontal="center"/>
    </xf>
    <xf numFmtId="164" fontId="2" fillId="5" borderId="0" xfId="0" applyNumberFormat="1" applyFont="1" applyFill="1" applyAlignment="1" applyProtection="1">
      <alignment horizontal="center"/>
      <protection locked="0"/>
    </xf>
    <xf numFmtId="164" fontId="1" fillId="0" borderId="0" xfId="0" applyNumberFormat="1" applyFont="1" applyAlignment="1">
      <alignment horizontal="center"/>
    </xf>
    <xf numFmtId="0" fontId="2" fillId="0" borderId="0" xfId="0" applyNumberFormat="1" applyFont="1" applyFill="1" applyBorder="1" applyAlignment="1" applyProtection="1">
      <alignment horizontal="center" vertical="top" wrapText="1"/>
    </xf>
    <xf numFmtId="164"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justify" vertical="top" wrapText="1"/>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164" fontId="0" fillId="0" borderId="0" xfId="0" applyNumberFormat="1" applyFont="1" applyFill="1" applyBorder="1" applyAlignment="1" applyProtection="1">
      <alignment horizont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2" fillId="6" borderId="0" xfId="0" applyNumberFormat="1" applyFont="1" applyFill="1" applyBorder="1" applyAlignment="1" applyProtection="1">
      <alignment horizontal="center" vertical="top" wrapText="1"/>
    </xf>
    <xf numFmtId="164" fontId="2" fillId="6" borderId="0" xfId="0" applyNumberFormat="1" applyFont="1" applyFill="1" applyBorder="1" applyAlignment="1" applyProtection="1">
      <alignment horizontal="justify" vertical="top" wrapText="1"/>
    </xf>
    <xf numFmtId="164" fontId="2" fillId="6" borderId="0" xfId="0" applyNumberFormat="1" applyFont="1" applyFill="1" applyBorder="1" applyAlignment="1" applyProtection="1">
      <alignment horizontal="center" vertical="top" wrapText="1"/>
    </xf>
    <xf numFmtId="49" fontId="2" fillId="6"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justify" vertical="top" wrapText="1"/>
    </xf>
    <xf numFmtId="164" fontId="1" fillId="0" borderId="0" xfId="0" applyNumberFormat="1" applyFont="1" applyFill="1" applyBorder="1" applyAlignment="1" applyProtection="1">
      <alignment horizontal="center" vertical="top" wrapText="1"/>
    </xf>
    <xf numFmtId="49"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justify" vertical="top" wrapText="1"/>
    </xf>
    <xf numFmtId="0" fontId="8" fillId="6" borderId="0" xfId="0" applyNumberFormat="1" applyFont="1" applyFill="1" applyBorder="1" applyAlignment="1" applyProtection="1">
      <alignment horizontal="justify" vertical="top" wrapText="1"/>
    </xf>
    <xf numFmtId="0" fontId="2" fillId="6" borderId="0" xfId="0" applyNumberFormat="1" applyFont="1" applyFill="1" applyBorder="1" applyAlignment="1" applyProtection="1">
      <alignment horizontal="left" vertical="top" wrapText="1"/>
    </xf>
    <xf numFmtId="0" fontId="2" fillId="6" borderId="0" xfId="0" applyNumberFormat="1" applyFont="1" applyFill="1" applyBorder="1" applyAlignment="1" applyProtection="1">
      <alignment horizontal="center" vertical="center" wrapText="1"/>
    </xf>
    <xf numFmtId="0" fontId="63" fillId="0" borderId="0" xfId="0" applyNumberFormat="1" applyFont="1" applyFill="1" applyBorder="1" applyAlignment="1" applyProtection="1">
      <alignment horizontal="justify" vertical="top" wrapText="1"/>
    </xf>
    <xf numFmtId="0" fontId="1" fillId="0" borderId="0" xfId="0" applyFont="1" applyAlignment="1" applyProtection="1">
      <alignment horizontal="left"/>
    </xf>
    <xf numFmtId="0" fontId="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justify" vertical="top" wrapText="1"/>
    </xf>
    <xf numFmtId="0" fontId="0"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alignment horizontal="left"/>
    </xf>
    <xf numFmtId="177" fontId="27" fillId="18" borderId="95" xfId="0" applyNumberFormat="1" applyFont="1" applyFill="1" applyBorder="1" applyAlignment="1" applyProtection="1">
      <alignment horizontal="center" vertical="center"/>
      <protection locked="0"/>
    </xf>
    <xf numFmtId="177" fontId="27" fillId="18" borderId="51" xfId="0" applyNumberFormat="1" applyFont="1" applyFill="1" applyBorder="1" applyAlignment="1" applyProtection="1">
      <alignment horizontal="center" vertical="center"/>
      <protection locked="0"/>
    </xf>
    <xf numFmtId="164" fontId="18" fillId="0" borderId="96" xfId="0" applyNumberFormat="1" applyFont="1" applyFill="1" applyBorder="1" applyAlignment="1">
      <alignment horizontal="center" vertical="center"/>
    </xf>
    <xf numFmtId="184" fontId="46" fillId="15" borderId="97" xfId="0" applyNumberFormat="1" applyFont="1" applyFill="1" applyBorder="1" applyAlignment="1" applyProtection="1">
      <alignment horizontal="center" vertical="center"/>
      <protection locked="0"/>
    </xf>
    <xf numFmtId="49" fontId="23" fillId="0" borderId="98" xfId="0" applyNumberFormat="1" applyFont="1" applyFill="1" applyBorder="1" applyAlignment="1">
      <alignment horizontal="center" vertical="top" wrapText="1"/>
    </xf>
    <xf numFmtId="195" fontId="7" fillId="15" borderId="99" xfId="0" applyNumberFormat="1" applyFont="1" applyFill="1" applyBorder="1" applyAlignment="1" applyProtection="1">
      <alignment horizontal="center" vertical="center"/>
      <protection locked="0"/>
    </xf>
    <xf numFmtId="184" fontId="25" fillId="15" borderId="100" xfId="0" applyNumberFormat="1" applyFont="1" applyFill="1" applyBorder="1" applyAlignment="1" applyProtection="1">
      <alignment horizontal="center"/>
      <protection locked="0"/>
    </xf>
    <xf numFmtId="196" fontId="1" fillId="7" borderId="97" xfId="0" applyNumberFormat="1" applyFont="1" applyFill="1" applyBorder="1" applyAlignment="1" applyProtection="1">
      <alignment horizontal="center"/>
      <protection locked="0"/>
    </xf>
    <xf numFmtId="196" fontId="1" fillId="0" borderId="101" xfId="0" applyNumberFormat="1" applyFont="1" applyFill="1" applyBorder="1" applyAlignment="1">
      <alignment horizontal="center"/>
    </xf>
    <xf numFmtId="172" fontId="18" fillId="5" borderId="49" xfId="0" applyNumberFormat="1" applyFont="1" applyFill="1" applyBorder="1" applyAlignment="1" applyProtection="1">
      <alignment horizontal="center" vertical="center"/>
      <protection locked="0"/>
    </xf>
    <xf numFmtId="0" fontId="39" fillId="11" borderId="54" xfId="0" applyFont="1" applyFill="1" applyBorder="1" applyAlignment="1" applyProtection="1">
      <alignment horizontal="center" vertical="center"/>
      <protection locked="0"/>
    </xf>
    <xf numFmtId="173" fontId="18" fillId="12" borderId="2" xfId="0" applyNumberFormat="1" applyFont="1" applyFill="1" applyBorder="1" applyAlignment="1" applyProtection="1">
      <alignment horizontal="center" vertical="center"/>
      <protection locked="0"/>
    </xf>
    <xf numFmtId="0" fontId="39" fillId="7" borderId="94" xfId="0" applyFont="1" applyFill="1" applyBorder="1" applyAlignment="1" applyProtection="1">
      <alignment horizontal="center"/>
      <protection locked="0"/>
    </xf>
    <xf numFmtId="164" fontId="29" fillId="0" borderId="59" xfId="0" applyNumberFormat="1" applyFont="1" applyFill="1" applyBorder="1" applyAlignment="1" applyProtection="1">
      <alignment horizontal="center"/>
    </xf>
    <xf numFmtId="164" fontId="29" fillId="0" borderId="58" xfId="0" applyNumberFormat="1" applyFont="1" applyFill="1" applyBorder="1" applyAlignment="1" applyProtection="1">
      <alignment horizontal="center"/>
    </xf>
    <xf numFmtId="16" fontId="1" fillId="0" borderId="0" xfId="0" quotePrefix="1" applyNumberFormat="1" applyFont="1" applyAlignment="1">
      <alignment horizontal="center"/>
    </xf>
    <xf numFmtId="16" fontId="1" fillId="0" borderId="0" xfId="0" applyNumberFormat="1" applyFont="1" applyAlignment="1">
      <alignment horizontal="center"/>
    </xf>
    <xf numFmtId="195" fontId="7" fillId="15" borderId="138" xfId="0" applyNumberFormat="1" applyFont="1" applyFill="1" applyBorder="1" applyAlignment="1" applyProtection="1">
      <alignment horizontal="center" vertical="center"/>
      <protection locked="0"/>
    </xf>
    <xf numFmtId="0" fontId="1" fillId="0" borderId="48" xfId="0" applyFont="1" applyFill="1" applyBorder="1" applyAlignment="1">
      <alignment horizontal="left" vertical="center"/>
    </xf>
    <xf numFmtId="0" fontId="1" fillId="0" borderId="50" xfId="0" applyFont="1" applyFill="1" applyBorder="1" applyAlignment="1">
      <alignment horizontal="left" vertical="center"/>
    </xf>
    <xf numFmtId="164" fontId="23" fillId="0" borderId="59" xfId="0" applyNumberFormat="1" applyFont="1" applyFill="1" applyBorder="1" applyAlignment="1">
      <alignment horizontal="center" vertical="center" wrapText="1"/>
    </xf>
    <xf numFmtId="164" fontId="23" fillId="0" borderId="58" xfId="0" applyNumberFormat="1" applyFont="1" applyFill="1" applyBorder="1" applyAlignment="1">
      <alignment horizontal="center" vertical="center" wrapText="1"/>
    </xf>
    <xf numFmtId="0" fontId="1" fillId="0" borderId="160" xfId="0" applyFont="1" applyFill="1" applyBorder="1" applyAlignment="1">
      <alignment horizontal="center" vertical="center"/>
    </xf>
    <xf numFmtId="0" fontId="1" fillId="0" borderId="161" xfId="0" applyFont="1" applyFill="1" applyBorder="1" applyAlignment="1">
      <alignment horizontal="center" vertical="center"/>
    </xf>
    <xf numFmtId="0" fontId="1" fillId="0" borderId="162" xfId="0" applyFont="1" applyFill="1" applyBorder="1" applyAlignment="1">
      <alignment horizontal="center" vertical="center"/>
    </xf>
    <xf numFmtId="164" fontId="28" fillId="5" borderId="7" xfId="0" applyNumberFormat="1" applyFont="1" applyFill="1" applyBorder="1" applyAlignment="1" applyProtection="1">
      <alignment horizontal="left" vertical="center"/>
      <protection locked="0"/>
    </xf>
    <xf numFmtId="164" fontId="28" fillId="5" borderId="0" xfId="0" applyNumberFormat="1" applyFont="1" applyFill="1" applyBorder="1" applyAlignment="1" applyProtection="1">
      <alignment horizontal="left" vertical="center"/>
      <protection locked="0"/>
    </xf>
    <xf numFmtId="164" fontId="28" fillId="5" borderId="42" xfId="0" applyNumberFormat="1" applyFont="1" applyFill="1" applyBorder="1" applyAlignment="1" applyProtection="1">
      <alignment horizontal="left" vertical="center"/>
      <protection locked="0"/>
    </xf>
    <xf numFmtId="164" fontId="25" fillId="5" borderId="139" xfId="0" applyNumberFormat="1" applyFont="1" applyFill="1" applyBorder="1" applyAlignment="1" applyProtection="1">
      <alignment horizontal="left" vertical="center"/>
      <protection locked="0"/>
    </xf>
    <xf numFmtId="164" fontId="25" fillId="5" borderId="140" xfId="0" applyNumberFormat="1" applyFont="1" applyFill="1" applyBorder="1" applyAlignment="1" applyProtection="1">
      <alignment horizontal="left" vertical="center"/>
      <protection locked="0"/>
    </xf>
    <xf numFmtId="49" fontId="28" fillId="5" borderId="7" xfId="0" applyNumberFormat="1" applyFont="1" applyFill="1" applyBorder="1" applyAlignment="1" applyProtection="1">
      <protection locked="0"/>
    </xf>
    <xf numFmtId="49" fontId="1" fillId="5" borderId="0" xfId="0" applyNumberFormat="1" applyFont="1" applyFill="1" applyBorder="1" applyAlignment="1" applyProtection="1">
      <protection locked="0"/>
    </xf>
    <xf numFmtId="49" fontId="1" fillId="5" borderId="42" xfId="0" applyNumberFormat="1" applyFont="1" applyFill="1" applyBorder="1" applyAlignment="1" applyProtection="1">
      <protection locked="0"/>
    </xf>
    <xf numFmtId="164" fontId="25" fillId="5" borderId="7" xfId="0" applyNumberFormat="1" applyFont="1" applyFill="1" applyBorder="1" applyAlignment="1" applyProtection="1">
      <alignment horizontal="left" vertical="center"/>
      <protection locked="0"/>
    </xf>
    <xf numFmtId="164" fontId="25" fillId="5" borderId="0" xfId="0" applyNumberFormat="1" applyFont="1" applyFill="1" applyBorder="1" applyAlignment="1" applyProtection="1">
      <alignment horizontal="left" vertical="center"/>
      <protection locked="0"/>
    </xf>
    <xf numFmtId="164" fontId="25" fillId="5" borderId="42" xfId="0" applyNumberFormat="1" applyFont="1" applyFill="1" applyBorder="1" applyAlignment="1" applyProtection="1">
      <alignment horizontal="left" vertical="center"/>
      <protection locked="0"/>
    </xf>
    <xf numFmtId="49" fontId="18" fillId="5" borderId="67" xfId="0" applyNumberFormat="1" applyFont="1" applyFill="1" applyBorder="1" applyAlignment="1" applyProtection="1">
      <alignment horizontal="center" vertical="center"/>
      <protection locked="0"/>
    </xf>
    <xf numFmtId="0" fontId="1" fillId="2" borderId="141" xfId="0" applyFont="1" applyFill="1" applyBorder="1" applyAlignment="1">
      <alignment horizontal="center" wrapText="1"/>
    </xf>
    <xf numFmtId="0" fontId="1" fillId="2" borderId="142" xfId="0" applyFont="1" applyFill="1" applyBorder="1" applyAlignment="1">
      <alignment horizontal="center" wrapText="1"/>
    </xf>
    <xf numFmtId="164" fontId="28" fillId="0" borderId="77" xfId="0" applyNumberFormat="1" applyFont="1" applyFill="1" applyBorder="1" applyAlignment="1" applyProtection="1">
      <alignment horizontal="center" vertical="center" wrapText="1"/>
      <protection locked="0"/>
    </xf>
    <xf numFmtId="164" fontId="28" fillId="0" borderId="42" xfId="0" applyNumberFormat="1" applyFont="1" applyFill="1" applyBorder="1" applyAlignment="1" applyProtection="1">
      <alignment horizontal="center" vertical="center" wrapText="1"/>
      <protection locked="0"/>
    </xf>
    <xf numFmtId="164" fontId="1" fillId="2" borderId="116" xfId="0" applyNumberFormat="1" applyFont="1" applyFill="1" applyBorder="1" applyAlignment="1">
      <alignment horizontal="center" vertical="center"/>
    </xf>
    <xf numFmtId="164" fontId="1" fillId="2" borderId="143" xfId="0" applyNumberFormat="1" applyFont="1" applyFill="1" applyBorder="1" applyAlignment="1">
      <alignment horizontal="center" vertical="center"/>
    </xf>
    <xf numFmtId="164" fontId="1" fillId="2" borderId="84" xfId="0" applyNumberFormat="1" applyFont="1" applyFill="1" applyBorder="1" applyAlignment="1">
      <alignment horizontal="center" vertical="center"/>
    </xf>
    <xf numFmtId="0" fontId="1" fillId="0" borderId="59" xfId="0" applyFont="1" applyFill="1" applyBorder="1" applyAlignment="1">
      <alignment horizontal="left" vertical="center"/>
    </xf>
    <xf numFmtId="0" fontId="1" fillId="0" borderId="0" xfId="0" applyFont="1" applyFill="1" applyBorder="1" applyAlignment="1">
      <alignment horizontal="left" vertical="center"/>
    </xf>
    <xf numFmtId="0" fontId="1" fillId="0" borderId="78" xfId="0" applyFont="1" applyFill="1" applyBorder="1" applyAlignment="1">
      <alignment horizontal="left" vertical="center"/>
    </xf>
    <xf numFmtId="0" fontId="1" fillId="0" borderId="147" xfId="0" applyFont="1" applyFill="1" applyBorder="1" applyAlignment="1">
      <alignment horizontal="left" vertical="center"/>
    </xf>
    <xf numFmtId="0" fontId="1" fillId="0" borderId="148" xfId="0" applyFont="1" applyFill="1" applyBorder="1" applyAlignment="1">
      <alignment horizontal="left" vertical="center"/>
    </xf>
    <xf numFmtId="0" fontId="1" fillId="0" borderId="45" xfId="0" applyFont="1" applyFill="1" applyBorder="1" applyAlignment="1">
      <alignment horizontal="left" vertical="center"/>
    </xf>
    <xf numFmtId="0" fontId="1" fillId="0" borderId="45" xfId="0" applyFont="1" applyBorder="1" applyAlignment="1">
      <alignment horizontal="left"/>
    </xf>
    <xf numFmtId="0" fontId="1" fillId="0" borderId="149" xfId="0" applyFont="1" applyFill="1" applyBorder="1" applyAlignment="1">
      <alignment horizontal="left" vertical="center"/>
    </xf>
    <xf numFmtId="0" fontId="1" fillId="0" borderId="150" xfId="0" applyFont="1" applyFill="1" applyBorder="1" applyAlignment="1">
      <alignment horizontal="left" vertical="center"/>
    </xf>
    <xf numFmtId="0" fontId="1" fillId="0" borderId="84" xfId="0" applyFont="1" applyFill="1" applyBorder="1" applyAlignment="1">
      <alignment horizontal="left" vertical="center"/>
    </xf>
    <xf numFmtId="0" fontId="1" fillId="0" borderId="49" xfId="0" applyFont="1" applyFill="1" applyBorder="1" applyAlignment="1">
      <alignment horizontal="left" vertical="center"/>
    </xf>
    <xf numFmtId="0" fontId="1" fillId="0" borderId="116"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15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2" xfId="0" applyFont="1" applyFill="1" applyBorder="1" applyAlignment="1">
      <alignment horizontal="left" vertical="center"/>
    </xf>
    <xf numFmtId="0" fontId="1" fillId="0" borderId="153" xfId="0" applyFont="1" applyFill="1" applyBorder="1" applyAlignment="1">
      <alignment horizontal="left" vertical="center"/>
    </xf>
    <xf numFmtId="0" fontId="1" fillId="9" borderId="152" xfId="0" applyFont="1" applyFill="1" applyBorder="1" applyAlignment="1">
      <alignment horizontal="left" vertical="center"/>
    </xf>
    <xf numFmtId="0" fontId="1" fillId="9" borderId="153" xfId="0" applyFont="1" applyFill="1" applyBorder="1" applyAlignment="1">
      <alignment horizontal="left" vertical="center"/>
    </xf>
    <xf numFmtId="0" fontId="1" fillId="0" borderId="26" xfId="0" applyFont="1" applyFill="1" applyBorder="1" applyAlignment="1">
      <alignment horizontal="left" vertical="center"/>
    </xf>
    <xf numFmtId="0" fontId="1" fillId="0" borderId="144" xfId="0" applyFont="1" applyFill="1" applyBorder="1" applyAlignment="1">
      <alignment horizontal="left" vertical="center"/>
    </xf>
    <xf numFmtId="0" fontId="1" fillId="0" borderId="145" xfId="0" applyFont="1" applyFill="1" applyBorder="1" applyAlignment="1">
      <alignment horizontal="left" vertical="center"/>
    </xf>
    <xf numFmtId="0" fontId="1" fillId="0" borderId="146" xfId="0" applyFont="1" applyFill="1" applyBorder="1" applyAlignment="1">
      <alignment horizontal="left" vertical="center"/>
    </xf>
    <xf numFmtId="0" fontId="42" fillId="0" borderId="145" xfId="0" applyFont="1" applyFill="1" applyBorder="1" applyAlignment="1">
      <alignment horizontal="left" vertical="center"/>
    </xf>
    <xf numFmtId="0" fontId="18" fillId="0" borderId="146" xfId="0" applyFont="1" applyFill="1" applyBorder="1" applyAlignment="1">
      <alignment horizontal="left" vertical="center"/>
    </xf>
    <xf numFmtId="165" fontId="18" fillId="5" borderId="94" xfId="0" applyNumberFormat="1" applyFont="1" applyFill="1" applyBorder="1" applyAlignment="1" applyProtection="1">
      <alignment horizontal="center" vertical="center"/>
      <protection locked="0"/>
    </xf>
    <xf numFmtId="0" fontId="18" fillId="0" borderId="6" xfId="0" applyFont="1" applyFill="1" applyBorder="1" applyAlignment="1">
      <alignment horizontal="left" vertical="center"/>
    </xf>
    <xf numFmtId="0" fontId="1" fillId="2" borderId="49" xfId="0" applyFont="1" applyFill="1" applyBorder="1" applyAlignment="1">
      <alignment horizontal="center" vertical="center" textRotation="90" wrapText="1"/>
    </xf>
    <xf numFmtId="164" fontId="18" fillId="0" borderId="0" xfId="0" applyNumberFormat="1" applyFont="1" applyFill="1" applyBorder="1" applyAlignment="1">
      <alignment horizontal="center" vertical="center"/>
    </xf>
    <xf numFmtId="177" fontId="18" fillId="5" borderId="116" xfId="0" applyNumberFormat="1" applyFont="1" applyFill="1" applyBorder="1" applyAlignment="1" applyProtection="1">
      <alignment horizontal="center" vertical="center"/>
      <protection locked="0"/>
    </xf>
    <xf numFmtId="177" fontId="18" fillId="5" borderId="117" xfId="0" applyNumberFormat="1" applyFont="1" applyFill="1" applyBorder="1" applyAlignment="1" applyProtection="1">
      <alignment horizontal="center" vertical="center"/>
      <protection locked="0"/>
    </xf>
    <xf numFmtId="164" fontId="1" fillId="2" borderId="47" xfId="0" applyNumberFormat="1" applyFont="1" applyFill="1" applyBorder="1" applyAlignment="1">
      <alignment horizontal="center" vertical="center"/>
    </xf>
    <xf numFmtId="164" fontId="1" fillId="2" borderId="154" xfId="0" applyNumberFormat="1" applyFont="1" applyFill="1" applyBorder="1" applyAlignment="1">
      <alignment horizontal="center" vertical="center"/>
    </xf>
    <xf numFmtId="0" fontId="67" fillId="2" borderId="12" xfId="0" applyFont="1" applyFill="1" applyBorder="1" applyAlignment="1">
      <alignment horizontal="center" vertical="center"/>
    </xf>
    <xf numFmtId="0" fontId="67" fillId="2" borderId="155" xfId="0" applyFont="1" applyFill="1" applyBorder="1" applyAlignment="1">
      <alignment horizontal="center" vertical="center"/>
    </xf>
    <xf numFmtId="0" fontId="67" fillId="2" borderId="156" xfId="0" applyFont="1" applyFill="1" applyBorder="1" applyAlignment="1">
      <alignment horizontal="center" vertical="center"/>
    </xf>
    <xf numFmtId="164" fontId="25" fillId="0" borderId="104" xfId="0" applyNumberFormat="1" applyFont="1" applyFill="1" applyBorder="1" applyAlignment="1" applyProtection="1">
      <alignment horizontal="center" vertical="center" wrapText="1"/>
      <protection locked="0"/>
    </xf>
    <xf numFmtId="164" fontId="25" fillId="0" borderId="157" xfId="0" applyNumberFormat="1" applyFont="1" applyFill="1" applyBorder="1" applyAlignment="1" applyProtection="1">
      <alignment horizontal="center" vertical="center" wrapText="1"/>
      <protection locked="0"/>
    </xf>
    <xf numFmtId="164" fontId="25" fillId="0" borderId="77" xfId="0" applyNumberFormat="1" applyFont="1" applyFill="1" applyBorder="1" applyAlignment="1" applyProtection="1">
      <alignment horizontal="center" vertical="center" wrapText="1"/>
      <protection locked="0"/>
    </xf>
    <xf numFmtId="164" fontId="25" fillId="0" borderId="42" xfId="0" applyNumberFormat="1" applyFont="1" applyFill="1" applyBorder="1" applyAlignment="1" applyProtection="1">
      <alignment horizontal="center" vertical="center" wrapText="1"/>
      <protection locked="0"/>
    </xf>
    <xf numFmtId="164" fontId="18" fillId="0" borderId="104" xfId="0" applyNumberFormat="1" applyFont="1" applyFill="1" applyBorder="1" applyAlignment="1" applyProtection="1">
      <alignment horizontal="center" vertical="center"/>
      <protection locked="0"/>
    </xf>
    <xf numFmtId="164" fontId="18" fillId="0" borderId="157" xfId="0" applyNumberFormat="1" applyFont="1" applyFill="1" applyBorder="1" applyAlignment="1" applyProtection="1">
      <alignment horizontal="center" vertical="center"/>
      <protection locked="0"/>
    </xf>
    <xf numFmtId="2" fontId="18" fillId="0" borderId="77" xfId="0" applyNumberFormat="1" applyFont="1" applyFill="1" applyBorder="1" applyAlignment="1" applyProtection="1">
      <alignment horizontal="center" vertical="center"/>
      <protection locked="0"/>
    </xf>
    <xf numFmtId="2" fontId="18" fillId="0" borderId="42" xfId="0" applyNumberFormat="1" applyFont="1" applyFill="1" applyBorder="1" applyAlignment="1" applyProtection="1">
      <alignment horizontal="center" vertical="center"/>
      <protection locked="0"/>
    </xf>
    <xf numFmtId="164" fontId="18" fillId="0" borderId="158" xfId="0" applyNumberFormat="1" applyFont="1" applyFill="1" applyBorder="1" applyAlignment="1" applyProtection="1">
      <alignment horizontal="center" vertical="center"/>
      <protection locked="0"/>
    </xf>
    <xf numFmtId="164" fontId="18" fillId="0" borderId="159" xfId="0" applyNumberFormat="1" applyFont="1" applyFill="1" applyBorder="1" applyAlignment="1" applyProtection="1">
      <alignment horizontal="center" vertical="center"/>
      <protection locked="0"/>
    </xf>
    <xf numFmtId="0" fontId="18" fillId="0" borderId="4" xfId="0" applyFont="1" applyFill="1" applyBorder="1" applyAlignment="1">
      <alignment horizontal="right" vertical="center"/>
    </xf>
    <xf numFmtId="165" fontId="18" fillId="5" borderId="49" xfId="0" applyNumberFormat="1" applyFont="1" applyFill="1" applyBorder="1" applyAlignment="1" applyProtection="1">
      <alignment horizontal="center" vertical="center"/>
      <protection locked="0"/>
    </xf>
    <xf numFmtId="190" fontId="18" fillId="5" borderId="116" xfId="0" applyNumberFormat="1" applyFont="1" applyFill="1" applyBorder="1" applyAlignment="1" applyProtection="1">
      <alignment horizontal="center" vertical="center"/>
      <protection locked="0"/>
    </xf>
    <xf numFmtId="190" fontId="18" fillId="5" borderId="117" xfId="0" applyNumberFormat="1" applyFont="1" applyFill="1" applyBorder="1" applyAlignment="1" applyProtection="1">
      <alignment horizontal="center" vertical="center"/>
      <protection locked="0"/>
    </xf>
    <xf numFmtId="164" fontId="25" fillId="5" borderId="137" xfId="0" applyNumberFormat="1" applyFont="1" applyFill="1" applyBorder="1" applyAlignment="1" applyProtection="1">
      <alignment horizontal="left" vertical="center"/>
      <protection locked="0"/>
    </xf>
    <xf numFmtId="164" fontId="25" fillId="5" borderId="113" xfId="0" applyNumberFormat="1" applyFont="1" applyFill="1" applyBorder="1" applyAlignment="1" applyProtection="1">
      <alignment horizontal="left" vertical="center"/>
      <protection locked="0"/>
    </xf>
    <xf numFmtId="0" fontId="2" fillId="2" borderId="49" xfId="0"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2" fontId="25" fillId="5" borderId="139" xfId="0" applyNumberFormat="1" applyFont="1" applyFill="1" applyBorder="1" applyAlignment="1" applyProtection="1">
      <alignment horizontal="center" vertical="center"/>
      <protection locked="0"/>
    </xf>
    <xf numFmtId="2" fontId="25" fillId="5" borderId="140" xfId="0" applyNumberFormat="1" applyFont="1" applyFill="1" applyBorder="1" applyAlignment="1" applyProtection="1">
      <alignment horizontal="center" vertical="center"/>
      <protection locked="0"/>
    </xf>
    <xf numFmtId="164" fontId="1" fillId="2" borderId="138" xfId="0" applyNumberFormat="1" applyFont="1" applyFill="1" applyBorder="1" applyAlignment="1">
      <alignment horizontal="center" vertical="center"/>
    </xf>
    <xf numFmtId="164" fontId="1" fillId="2" borderId="98" xfId="0" applyNumberFormat="1" applyFont="1" applyFill="1" applyBorder="1" applyAlignment="1">
      <alignment horizontal="center" vertical="center"/>
    </xf>
    <xf numFmtId="0" fontId="18" fillId="0" borderId="86" xfId="0" applyFont="1" applyFill="1" applyBorder="1" applyAlignment="1">
      <alignment horizontal="center" vertical="center"/>
    </xf>
    <xf numFmtId="0" fontId="79" fillId="0" borderId="138" xfId="0" applyFont="1" applyFill="1" applyBorder="1" applyAlignment="1">
      <alignment horizontal="center" vertical="center" wrapText="1"/>
    </xf>
    <xf numFmtId="0" fontId="79" fillId="0" borderId="98"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1" fillId="2" borderId="134" xfId="0" applyNumberFormat="1" applyFont="1" applyFill="1" applyBorder="1" applyAlignment="1">
      <alignment horizontal="center" vertical="center"/>
    </xf>
    <xf numFmtId="164" fontId="1" fillId="2" borderId="99" xfId="0" applyNumberFormat="1" applyFont="1" applyFill="1" applyBorder="1" applyAlignment="1">
      <alignment horizontal="center" vertical="center"/>
    </xf>
    <xf numFmtId="2" fontId="25" fillId="0" borderId="137" xfId="0" applyNumberFormat="1" applyFont="1" applyFill="1" applyBorder="1" applyAlignment="1" applyProtection="1">
      <alignment horizontal="center" vertical="center"/>
      <protection locked="0"/>
    </xf>
    <xf numFmtId="2" fontId="25" fillId="0" borderId="113" xfId="0" applyNumberFormat="1" applyFont="1" applyFill="1" applyBorder="1" applyAlignment="1" applyProtection="1">
      <alignment horizontal="center" vertical="center"/>
      <protection locked="0"/>
    </xf>
    <xf numFmtId="0" fontId="17" fillId="0" borderId="126"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28" xfId="0" applyFont="1" applyFill="1" applyBorder="1" applyAlignment="1">
      <alignment horizontal="center" vertical="center"/>
    </xf>
    <xf numFmtId="166" fontId="42" fillId="13" borderId="29" xfId="0" applyNumberFormat="1" applyFont="1" applyFill="1" applyBorder="1" applyAlignment="1" applyProtection="1">
      <alignment horizontal="center" vertical="center"/>
      <protection locked="0"/>
    </xf>
    <xf numFmtId="166" fontId="42" fillId="13" borderId="118" xfId="0" applyNumberFormat="1" applyFont="1" applyFill="1" applyBorder="1" applyAlignment="1" applyProtection="1">
      <alignment horizontal="center" vertical="center"/>
      <protection locked="0"/>
    </xf>
    <xf numFmtId="164" fontId="1" fillId="2" borderId="40" xfId="0" applyNumberFormat="1" applyFont="1" applyFill="1" applyBorder="1" applyAlignment="1">
      <alignment horizontal="center" vertical="center"/>
    </xf>
    <xf numFmtId="0" fontId="1" fillId="2" borderId="3" xfId="0" applyFont="1" applyFill="1" applyBorder="1" applyAlignment="1">
      <alignment horizontal="center" vertical="center" textRotation="90" wrapText="1"/>
    </xf>
    <xf numFmtId="0" fontId="2" fillId="2"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38" xfId="0" applyFont="1" applyFill="1" applyBorder="1" applyAlignment="1">
      <alignment horizontal="center" vertical="center"/>
    </xf>
    <xf numFmtId="0" fontId="1" fillId="2" borderId="98" xfId="0" applyFont="1" applyFill="1" applyBorder="1" applyAlignment="1">
      <alignment horizontal="center" vertical="center"/>
    </xf>
    <xf numFmtId="164" fontId="9" fillId="0" borderId="121" xfId="1" applyNumberFormat="1" applyFont="1" applyFill="1" applyBorder="1" applyAlignment="1" applyProtection="1">
      <alignment horizontal="center" vertical="center"/>
    </xf>
    <xf numFmtId="164" fontId="9" fillId="0" borderId="122" xfId="1" applyNumberFormat="1" applyFont="1" applyFill="1" applyBorder="1" applyAlignment="1" applyProtection="1">
      <alignment horizontal="center" vertical="center"/>
    </xf>
    <xf numFmtId="164" fontId="7" fillId="11" borderId="123" xfId="0" applyNumberFormat="1" applyFont="1" applyFill="1" applyBorder="1" applyAlignment="1" applyProtection="1">
      <alignment horizontal="center" vertical="center"/>
      <protection locked="0"/>
    </xf>
    <xf numFmtId="164" fontId="7" fillId="11" borderId="124" xfId="0" applyNumberFormat="1" applyFont="1" applyFill="1" applyBorder="1" applyAlignment="1" applyProtection="1">
      <alignment horizontal="center" vertical="center"/>
      <protection locked="0"/>
    </xf>
    <xf numFmtId="49" fontId="73" fillId="11" borderId="38" xfId="0" applyNumberFormat="1" applyFont="1" applyFill="1" applyBorder="1" applyAlignment="1" applyProtection="1">
      <alignment horizontal="center" vertical="center"/>
      <protection locked="0"/>
    </xf>
    <xf numFmtId="49" fontId="74" fillId="0" borderId="81" xfId="0" applyNumberFormat="1" applyFont="1" applyBorder="1" applyAlignment="1" applyProtection="1">
      <protection locked="0"/>
    </xf>
    <xf numFmtId="49" fontId="74" fillId="0" borderId="56" xfId="0" applyNumberFormat="1" applyFont="1" applyBorder="1" applyAlignment="1" applyProtection="1">
      <protection locked="0"/>
    </xf>
    <xf numFmtId="165" fontId="5" fillId="5" borderId="81" xfId="0" applyNumberFormat="1" applyFont="1" applyFill="1" applyBorder="1" applyAlignment="1" applyProtection="1">
      <alignment horizontal="center" vertical="center"/>
      <protection locked="0"/>
    </xf>
    <xf numFmtId="165" fontId="5" fillId="5" borderId="56" xfId="0" applyNumberFormat="1" applyFont="1" applyFill="1" applyBorder="1" applyAlignment="1" applyProtection="1">
      <alignment horizontal="center" vertical="center"/>
      <protection locked="0"/>
    </xf>
    <xf numFmtId="0" fontId="17" fillId="0" borderId="125" xfId="0" applyFont="1" applyFill="1" applyBorder="1" applyAlignment="1">
      <alignment horizontal="center" vertical="center"/>
    </xf>
    <xf numFmtId="166" fontId="18" fillId="0" borderId="101" xfId="0" applyNumberFormat="1" applyFont="1" applyFill="1" applyBorder="1" applyAlignment="1">
      <alignment horizontal="center" vertical="center"/>
    </xf>
    <xf numFmtId="166" fontId="18" fillId="0" borderId="62" xfId="0" applyNumberFormat="1" applyFont="1" applyFill="1" applyBorder="1" applyAlignment="1">
      <alignment horizontal="center" vertical="center"/>
    </xf>
    <xf numFmtId="164" fontId="17" fillId="0" borderId="126" xfId="0" applyNumberFormat="1" applyFont="1" applyFill="1" applyBorder="1" applyAlignment="1">
      <alignment horizontal="center" vertical="center"/>
    </xf>
    <xf numFmtId="164" fontId="17" fillId="0" borderId="127" xfId="0" applyNumberFormat="1" applyFont="1" applyFill="1" applyBorder="1" applyAlignment="1">
      <alignment horizontal="center" vertical="center"/>
    </xf>
    <xf numFmtId="166" fontId="1" fillId="20" borderId="101" xfId="0" applyNumberFormat="1" applyFont="1" applyFill="1" applyBorder="1" applyAlignment="1" applyProtection="1">
      <alignment horizontal="center" vertical="center"/>
      <protection locked="0"/>
    </xf>
    <xf numFmtId="166" fontId="1" fillId="20" borderId="62" xfId="0" applyNumberFormat="1" applyFont="1" applyFill="1" applyBorder="1" applyAlignment="1" applyProtection="1">
      <alignment horizontal="center" vertical="center"/>
      <protection locked="0"/>
    </xf>
    <xf numFmtId="0" fontId="17" fillId="0" borderId="128" xfId="0" applyFont="1" applyFill="1" applyBorder="1" applyAlignment="1">
      <alignment horizontal="center" vertical="center" wrapText="1"/>
    </xf>
    <xf numFmtId="170" fontId="18" fillId="0" borderId="18" xfId="0" applyNumberFormat="1" applyFont="1" applyFill="1" applyBorder="1" applyAlignment="1">
      <alignment horizontal="center" vertical="center"/>
    </xf>
    <xf numFmtId="170" fontId="18" fillId="0" borderId="42" xfId="0" applyNumberFormat="1" applyFont="1" applyFill="1" applyBorder="1" applyAlignment="1">
      <alignment horizontal="center" vertical="center"/>
    </xf>
    <xf numFmtId="0" fontId="17" fillId="0" borderId="129" xfId="0" applyFont="1" applyFill="1" applyBorder="1" applyAlignment="1">
      <alignment horizontal="center" vertical="center"/>
    </xf>
    <xf numFmtId="0" fontId="17" fillId="0" borderId="130" xfId="0" applyFont="1" applyFill="1" applyBorder="1" applyAlignment="1">
      <alignment horizontal="center" vertical="center"/>
    </xf>
    <xf numFmtId="164" fontId="17" fillId="0" borderId="131" xfId="0" applyNumberFormat="1" applyFont="1" applyFill="1" applyBorder="1" applyAlignment="1">
      <alignment horizontal="center" vertical="center"/>
    </xf>
    <xf numFmtId="164" fontId="17" fillId="0" borderId="80" xfId="0" applyNumberFormat="1" applyFont="1" applyFill="1" applyBorder="1" applyAlignment="1">
      <alignment horizontal="center" vertical="center"/>
    </xf>
    <xf numFmtId="49" fontId="17" fillId="0" borderId="132" xfId="0" applyNumberFormat="1" applyFont="1" applyFill="1" applyBorder="1" applyAlignment="1">
      <alignment horizontal="center" vertical="center" wrapText="1"/>
    </xf>
    <xf numFmtId="49" fontId="17" fillId="0" borderId="133" xfId="0" applyNumberFormat="1" applyFont="1" applyFill="1" applyBorder="1" applyAlignment="1">
      <alignment horizontal="center" vertical="center" wrapText="1"/>
    </xf>
    <xf numFmtId="0" fontId="17" fillId="0" borderId="87" xfId="0" applyFont="1" applyFill="1" applyBorder="1" applyAlignment="1">
      <alignment horizontal="center" vertical="center"/>
    </xf>
    <xf numFmtId="49" fontId="55" fillId="19" borderId="0" xfId="0" applyNumberFormat="1" applyFont="1" applyFill="1" applyBorder="1" applyAlignment="1">
      <alignment wrapText="1"/>
    </xf>
    <xf numFmtId="0" fontId="0" fillId="0" borderId="0" xfId="0" applyAlignment="1">
      <alignment wrapText="1"/>
    </xf>
    <xf numFmtId="170" fontId="18" fillId="0" borderId="102" xfId="0" applyNumberFormat="1" applyFont="1" applyFill="1" applyBorder="1" applyAlignment="1" applyProtection="1">
      <alignment horizontal="center" vertical="center"/>
    </xf>
    <xf numFmtId="170" fontId="18" fillId="0" borderId="103" xfId="0" applyNumberFormat="1" applyFont="1" applyFill="1" applyBorder="1" applyAlignment="1" applyProtection="1">
      <alignment horizontal="center" vertical="center"/>
    </xf>
    <xf numFmtId="49" fontId="2" fillId="14" borderId="104" xfId="0" applyNumberFormat="1" applyFont="1" applyFill="1" applyBorder="1" applyAlignment="1">
      <alignment horizontal="center" vertical="center" wrapText="1"/>
    </xf>
    <xf numFmtId="49" fontId="2" fillId="14" borderId="105" xfId="0" applyNumberFormat="1" applyFont="1" applyFill="1" applyBorder="1" applyAlignment="1">
      <alignment horizontal="center" vertical="center" wrapText="1"/>
    </xf>
    <xf numFmtId="49" fontId="2" fillId="14" borderId="43" xfId="0" applyNumberFormat="1" applyFont="1" applyFill="1" applyBorder="1" applyAlignment="1">
      <alignment horizontal="center" vertical="center" wrapText="1"/>
    </xf>
    <xf numFmtId="49" fontId="2" fillId="14" borderId="77" xfId="0" applyNumberFormat="1" applyFont="1" applyFill="1" applyBorder="1" applyAlignment="1">
      <alignment horizontal="center" vertical="center" wrapText="1"/>
    </xf>
    <xf numFmtId="49" fontId="2" fillId="14" borderId="0" xfId="0" applyNumberFormat="1" applyFont="1" applyFill="1" applyBorder="1" applyAlignment="1">
      <alignment horizontal="center" vertical="center" wrapText="1"/>
    </xf>
    <xf numFmtId="49" fontId="2" fillId="14" borderId="78" xfId="0" applyNumberFormat="1" applyFont="1" applyFill="1" applyBorder="1" applyAlignment="1">
      <alignment horizontal="center" vertical="center" wrapText="1"/>
    </xf>
    <xf numFmtId="49" fontId="2" fillId="14" borderId="106" xfId="0" applyNumberFormat="1" applyFont="1" applyFill="1" applyBorder="1" applyAlignment="1">
      <alignment horizontal="center" vertical="center" wrapText="1"/>
    </xf>
    <xf numFmtId="49" fontId="2" fillId="14" borderId="45" xfId="0" applyNumberFormat="1" applyFont="1" applyFill="1" applyBorder="1" applyAlignment="1">
      <alignment horizontal="center" vertical="center" wrapText="1"/>
    </xf>
    <xf numFmtId="49" fontId="2" fillId="14" borderId="107"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Fill="1" applyBorder="1" applyAlignment="1">
      <alignment horizontal="center" vertical="center"/>
    </xf>
    <xf numFmtId="0" fontId="9" fillId="2" borderId="108" xfId="0" applyFont="1" applyFill="1" applyBorder="1" applyAlignment="1">
      <alignment horizontal="center" vertical="center" wrapText="1"/>
    </xf>
    <xf numFmtId="0" fontId="9" fillId="2" borderId="109"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9" fillId="2" borderId="111" xfId="0" applyFont="1" applyFill="1" applyBorder="1" applyAlignment="1">
      <alignment horizontal="center" vertical="center" wrapText="1"/>
    </xf>
    <xf numFmtId="49" fontId="76" fillId="2" borderId="82" xfId="0" applyNumberFormat="1" applyFont="1" applyFill="1" applyBorder="1" applyAlignment="1" applyProtection="1">
      <alignment horizontal="center" wrapText="1"/>
    </xf>
    <xf numFmtId="49" fontId="76" fillId="2" borderId="112" xfId="0" applyNumberFormat="1" applyFont="1" applyFill="1" applyBorder="1" applyAlignment="1" applyProtection="1">
      <alignment horizontal="center" wrapText="1"/>
    </xf>
    <xf numFmtId="195" fontId="7" fillId="15" borderId="99" xfId="0" applyNumberFormat="1" applyFont="1" applyFill="1" applyBorder="1" applyAlignment="1" applyProtection="1">
      <alignment horizontal="center" vertical="center"/>
      <protection locked="0"/>
    </xf>
    <xf numFmtId="195" fontId="7" fillId="15" borderId="113" xfId="0" applyNumberFormat="1" applyFont="1" applyFill="1" applyBorder="1" applyAlignment="1" applyProtection="1">
      <alignment horizontal="center" vertical="center"/>
      <protection locked="0"/>
    </xf>
    <xf numFmtId="194" fontId="7" fillId="11" borderId="114" xfId="0" applyNumberFormat="1" applyFont="1" applyFill="1" applyBorder="1" applyAlignment="1" applyProtection="1">
      <alignment horizontal="center" vertical="center" wrapText="1"/>
      <protection locked="0"/>
    </xf>
    <xf numFmtId="0" fontId="2" fillId="2" borderId="115" xfId="0" applyFont="1" applyFill="1" applyBorder="1" applyAlignment="1">
      <alignment horizontal="center" vertical="center" wrapText="1"/>
    </xf>
    <xf numFmtId="49" fontId="65" fillId="8" borderId="116" xfId="0" applyNumberFormat="1" applyFont="1" applyFill="1" applyBorder="1" applyAlignment="1">
      <alignment horizontal="center" vertical="center" wrapText="1"/>
    </xf>
    <xf numFmtId="49" fontId="65" fillId="8" borderId="50" xfId="0" applyNumberFormat="1" applyFont="1" applyFill="1" applyBorder="1" applyAlignment="1">
      <alignment horizontal="center" vertical="center"/>
    </xf>
    <xf numFmtId="49" fontId="65" fillId="8" borderId="117" xfId="0" applyNumberFormat="1" applyFont="1" applyFill="1" applyBorder="1" applyAlignment="1">
      <alignment horizontal="center" vertical="center"/>
    </xf>
    <xf numFmtId="0" fontId="2" fillId="5" borderId="49" xfId="0" applyFont="1" applyFill="1" applyBorder="1" applyAlignment="1">
      <alignment horizontal="center" vertical="center" wrapText="1"/>
    </xf>
    <xf numFmtId="188" fontId="18" fillId="0" borderId="29" xfId="0" applyNumberFormat="1" applyFont="1" applyFill="1" applyBorder="1" applyAlignment="1">
      <alignment horizontal="center" vertical="center" wrapText="1"/>
    </xf>
    <xf numFmtId="188" fontId="18" fillId="0" borderId="118" xfId="0" applyNumberFormat="1" applyFont="1" applyFill="1" applyBorder="1" applyAlignment="1">
      <alignment horizontal="center" vertical="center"/>
    </xf>
    <xf numFmtId="49" fontId="45" fillId="0" borderId="104" xfId="0" applyNumberFormat="1" applyFont="1" applyFill="1" applyBorder="1" applyAlignment="1">
      <alignment horizontal="center" vertical="center" textRotation="90" wrapText="1"/>
    </xf>
    <xf numFmtId="49" fontId="45" fillId="0" borderId="43" xfId="0" applyNumberFormat="1" applyFont="1" applyFill="1" applyBorder="1" applyAlignment="1">
      <alignment horizontal="center" vertical="center" textRotation="90"/>
    </xf>
    <xf numFmtId="49" fontId="45" fillId="0" borderId="77" xfId="0" applyNumberFormat="1" applyFont="1" applyFill="1" applyBorder="1" applyAlignment="1">
      <alignment horizontal="center" vertical="center" textRotation="90"/>
    </xf>
    <xf numFmtId="49" fontId="45" fillId="0" borderId="78" xfId="0" applyNumberFormat="1" applyFont="1" applyFill="1" applyBorder="1" applyAlignment="1">
      <alignment horizontal="center" vertical="center" textRotation="90"/>
    </xf>
    <xf numFmtId="49" fontId="45" fillId="0" borderId="106" xfId="0" applyNumberFormat="1" applyFont="1" applyFill="1" applyBorder="1" applyAlignment="1">
      <alignment horizontal="center" vertical="center" textRotation="90"/>
    </xf>
    <xf numFmtId="49" fontId="45" fillId="0" borderId="107" xfId="0" applyNumberFormat="1" applyFont="1" applyFill="1" applyBorder="1" applyAlignment="1">
      <alignment horizontal="center" vertical="center" textRotation="90"/>
    </xf>
    <xf numFmtId="49" fontId="54" fillId="7" borderId="49" xfId="0" applyNumberFormat="1" applyFont="1" applyFill="1" applyBorder="1" applyAlignment="1">
      <alignment horizontal="center" vertical="center" wrapText="1"/>
    </xf>
    <xf numFmtId="49" fontId="5" fillId="12" borderId="119" xfId="0" applyNumberFormat="1" applyFont="1" applyFill="1" applyBorder="1" applyAlignment="1" applyProtection="1">
      <alignment horizontal="center" vertical="center"/>
      <protection locked="0"/>
    </xf>
    <xf numFmtId="49" fontId="5" fillId="12" borderId="120" xfId="0" applyNumberFormat="1" applyFont="1" applyFill="1" applyBorder="1" applyAlignment="1" applyProtection="1">
      <alignment horizontal="center" vertical="center"/>
      <protection locked="0"/>
    </xf>
    <xf numFmtId="2" fontId="25" fillId="5" borderId="134" xfId="0" applyNumberFormat="1" applyFont="1" applyFill="1" applyBorder="1" applyAlignment="1" applyProtection="1">
      <alignment horizontal="center" vertical="center"/>
      <protection locked="0"/>
    </xf>
    <xf numFmtId="2" fontId="25" fillId="5" borderId="99" xfId="0" applyNumberFormat="1" applyFont="1" applyFill="1" applyBorder="1" applyAlignment="1" applyProtection="1">
      <alignment horizontal="center" vertical="center"/>
      <protection locked="0"/>
    </xf>
    <xf numFmtId="2" fontId="25" fillId="5" borderId="135" xfId="0" applyNumberFormat="1" applyFont="1" applyFill="1" applyBorder="1" applyAlignment="1" applyProtection="1">
      <alignment horizontal="center" vertical="center"/>
      <protection locked="0"/>
    </xf>
    <xf numFmtId="2" fontId="25" fillId="5" borderId="45" xfId="0" applyNumberFormat="1" applyFont="1" applyFill="1" applyBorder="1" applyAlignment="1" applyProtection="1">
      <alignment horizontal="center" vertical="center"/>
      <protection locked="0"/>
    </xf>
    <xf numFmtId="2" fontId="25" fillId="5" borderId="136" xfId="0" applyNumberFormat="1" applyFont="1" applyFill="1" applyBorder="1" applyAlignment="1" applyProtection="1">
      <alignment horizontal="center" vertical="center"/>
      <protection locked="0"/>
    </xf>
    <xf numFmtId="2" fontId="24" fillId="5" borderId="134" xfId="0" applyNumberFormat="1" applyFont="1" applyFill="1" applyBorder="1" applyAlignment="1" applyProtection="1">
      <alignment horizontal="center" vertical="center"/>
      <protection locked="0"/>
    </xf>
    <xf numFmtId="2" fontId="24" fillId="5" borderId="99" xfId="0" applyNumberFormat="1" applyFont="1" applyFill="1" applyBorder="1" applyAlignment="1" applyProtection="1">
      <alignment horizontal="center" vertical="center"/>
      <protection locked="0"/>
    </xf>
    <xf numFmtId="2" fontId="24" fillId="5" borderId="139" xfId="0" applyNumberFormat="1" applyFont="1" applyFill="1" applyBorder="1" applyAlignment="1" applyProtection="1">
      <alignment horizontal="center" vertical="center"/>
      <protection locked="0"/>
    </xf>
    <xf numFmtId="2" fontId="24" fillId="5" borderId="140" xfId="0" applyNumberFormat="1" applyFont="1" applyFill="1" applyBorder="1" applyAlignment="1" applyProtection="1">
      <alignment horizontal="center" vertical="center"/>
      <protection locked="0"/>
    </xf>
    <xf numFmtId="0" fontId="67" fillId="0" borderId="49" xfId="0" applyFont="1" applyBorder="1" applyAlignment="1">
      <alignment horizontal="center" vertical="top"/>
    </xf>
    <xf numFmtId="0" fontId="67" fillId="0" borderId="55" xfId="0" applyFont="1" applyBorder="1" applyAlignment="1">
      <alignment horizontal="center" vertical="top"/>
    </xf>
    <xf numFmtId="0" fontId="72" fillId="10" borderId="95" xfId="0" applyFont="1" applyFill="1" applyBorder="1" applyAlignment="1">
      <alignment horizontal="center" vertical="top"/>
    </xf>
    <xf numFmtId="0" fontId="72" fillId="10" borderId="51" xfId="0" applyFont="1" applyFill="1" applyBorder="1" applyAlignment="1">
      <alignment horizontal="center" vertical="top"/>
    </xf>
    <xf numFmtId="0" fontId="72" fillId="10" borderId="52" xfId="0" applyFont="1" applyFill="1" applyBorder="1" applyAlignment="1">
      <alignment horizontal="center" vertical="top"/>
    </xf>
    <xf numFmtId="0" fontId="34" fillId="0" borderId="3" xfId="0" applyFont="1" applyBorder="1" applyAlignment="1">
      <alignment horizontal="center"/>
    </xf>
    <xf numFmtId="49" fontId="37" fillId="0" borderId="155"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6" borderId="3" xfId="0" applyFont="1" applyFill="1" applyBorder="1" applyAlignment="1">
      <alignment horizontal="center" vertical="center"/>
    </xf>
    <xf numFmtId="49" fontId="42" fillId="0" borderId="167" xfId="0" applyNumberFormat="1" applyFont="1" applyBorder="1" applyAlignment="1" applyProtection="1">
      <alignment horizontal="left" vertical="top" wrapText="1"/>
      <protection locked="0"/>
    </xf>
    <xf numFmtId="49" fontId="42" fillId="0" borderId="86" xfId="0" applyNumberFormat="1" applyFont="1" applyBorder="1" applyAlignment="1" applyProtection="1">
      <alignment horizontal="left" vertical="top" wrapText="1"/>
      <protection locked="0"/>
    </xf>
    <xf numFmtId="49" fontId="42" fillId="0" borderId="168" xfId="0" applyNumberFormat="1" applyFont="1" applyBorder="1" applyAlignment="1" applyProtection="1">
      <alignment horizontal="left" vertical="top" wrapText="1"/>
      <protection locked="0"/>
    </xf>
    <xf numFmtId="49" fontId="42" fillId="0" borderId="59" xfId="0" applyNumberFormat="1" applyFont="1" applyBorder="1" applyAlignment="1" applyProtection="1">
      <alignment horizontal="left" vertical="top" wrapText="1"/>
      <protection locked="0"/>
    </xf>
    <xf numFmtId="49" fontId="42" fillId="0" borderId="0" xfId="0" applyNumberFormat="1" applyFont="1" applyBorder="1" applyAlignment="1" applyProtection="1">
      <alignment horizontal="left" vertical="top" wrapText="1"/>
      <protection locked="0"/>
    </xf>
    <xf numFmtId="49" fontId="42" fillId="0" borderId="42" xfId="0" applyNumberFormat="1" applyFont="1" applyBorder="1" applyAlignment="1" applyProtection="1">
      <alignment horizontal="left" vertical="top" wrapText="1"/>
      <protection locked="0"/>
    </xf>
    <xf numFmtId="49" fontId="42" fillId="0" borderId="88" xfId="0" applyNumberFormat="1" applyFont="1" applyBorder="1" applyAlignment="1" applyProtection="1">
      <alignment horizontal="left" vertical="top" wrapText="1"/>
      <protection locked="0"/>
    </xf>
    <xf numFmtId="49" fontId="42" fillId="0" borderId="53" xfId="0" applyNumberFormat="1" applyFont="1" applyBorder="1" applyAlignment="1" applyProtection="1">
      <alignment horizontal="left" vertical="top" wrapText="1"/>
      <protection locked="0"/>
    </xf>
    <xf numFmtId="49" fontId="42" fillId="0" borderId="159" xfId="0" applyNumberFormat="1" applyFont="1" applyBorder="1" applyAlignment="1" applyProtection="1">
      <alignment horizontal="left" vertical="top" wrapText="1"/>
      <protection locked="0"/>
    </xf>
    <xf numFmtId="0" fontId="2" fillId="6" borderId="131" xfId="0" applyFont="1" applyFill="1" applyBorder="1" applyAlignment="1">
      <alignment horizontal="left"/>
    </xf>
    <xf numFmtId="0" fontId="2" fillId="6" borderId="1" xfId="0" applyFont="1" applyFill="1" applyBorder="1" applyAlignment="1">
      <alignment horizontal="left"/>
    </xf>
    <xf numFmtId="0" fontId="2" fillId="6" borderId="118" xfId="0" applyFont="1" applyFill="1" applyBorder="1" applyAlignment="1">
      <alignment horizontal="left"/>
    </xf>
    <xf numFmtId="49" fontId="68" fillId="6" borderId="58" xfId="0" applyNumberFormat="1" applyFont="1" applyFill="1" applyBorder="1" applyAlignment="1">
      <alignment horizontal="left" vertical="top"/>
    </xf>
    <xf numFmtId="49" fontId="42" fillId="6" borderId="45" xfId="0" applyNumberFormat="1" applyFont="1" applyFill="1" applyBorder="1" applyAlignment="1">
      <alignment horizontal="left" vertical="top"/>
    </xf>
    <xf numFmtId="49" fontId="42" fillId="6" borderId="136" xfId="0" applyNumberFormat="1" applyFont="1" applyFill="1" applyBorder="1" applyAlignment="1">
      <alignment horizontal="left" vertical="top"/>
    </xf>
    <xf numFmtId="49" fontId="42" fillId="0" borderId="163" xfId="0" applyNumberFormat="1" applyFont="1" applyBorder="1" applyAlignment="1" applyProtection="1">
      <alignment horizontal="left" vertical="top" wrapText="1"/>
      <protection locked="0"/>
    </xf>
    <xf numFmtId="49" fontId="42" fillId="0" borderId="105" xfId="0" applyNumberFormat="1" applyFont="1" applyBorder="1" applyAlignment="1" applyProtection="1">
      <alignment horizontal="left" vertical="top" wrapText="1"/>
      <protection locked="0"/>
    </xf>
    <xf numFmtId="49" fontId="42" fillId="0" borderId="157" xfId="0" applyNumberFormat="1" applyFont="1" applyBorder="1" applyAlignment="1" applyProtection="1">
      <alignment horizontal="left" vertical="top" wrapText="1"/>
      <protection locked="0"/>
    </xf>
    <xf numFmtId="0" fontId="2" fillId="6" borderId="164" xfId="0" applyFont="1" applyFill="1" applyBorder="1" applyAlignment="1">
      <alignment horizontal="left"/>
    </xf>
    <xf numFmtId="0" fontId="2" fillId="6" borderId="165" xfId="0" applyFont="1" applyFill="1" applyBorder="1" applyAlignment="1">
      <alignment horizontal="left"/>
    </xf>
    <xf numFmtId="0" fontId="2" fillId="6" borderId="166" xfId="0" applyFont="1" applyFill="1" applyBorder="1" applyAlignment="1">
      <alignment horizontal="left"/>
    </xf>
    <xf numFmtId="49" fontId="28" fillId="0" borderId="59" xfId="0" applyNumberFormat="1" applyFont="1" applyBorder="1" applyAlignment="1" applyProtection="1">
      <alignment horizontal="left" vertical="top" wrapText="1"/>
      <protection locked="0"/>
    </xf>
    <xf numFmtId="49" fontId="28" fillId="0" borderId="0" xfId="0" applyNumberFormat="1" applyFont="1" applyBorder="1" applyAlignment="1" applyProtection="1">
      <alignment horizontal="left" vertical="top" wrapText="1"/>
      <protection locked="0"/>
    </xf>
    <xf numFmtId="49" fontId="28" fillId="0" borderId="42" xfId="0" applyNumberFormat="1" applyFont="1" applyBorder="1" applyAlignment="1" applyProtection="1">
      <alignment horizontal="left" vertical="top" wrapText="1"/>
      <protection locked="0"/>
    </xf>
    <xf numFmtId="0" fontId="1" fillId="6" borderId="66" xfId="0" applyFont="1" applyFill="1" applyBorder="1" applyAlignment="1">
      <alignment horizontal="center" vertical="center" wrapText="1"/>
    </xf>
    <xf numFmtId="0" fontId="34" fillId="6" borderId="0" xfId="0" applyFont="1" applyFill="1" applyAlignment="1">
      <alignment vertical="center"/>
    </xf>
    <xf numFmtId="164" fontId="1" fillId="5" borderId="0" xfId="0" applyNumberFormat="1" applyFont="1" applyFill="1" applyBorder="1" applyAlignment="1">
      <alignment horizontal="center" vertical="center" wrapText="1"/>
    </xf>
    <xf numFmtId="0" fontId="2" fillId="6" borderId="0" xfId="0" applyNumberFormat="1" applyFont="1" applyFill="1" applyBorder="1" applyAlignment="1" applyProtection="1">
      <alignment horizontal="center" vertical="top" wrapText="1"/>
      <protection locked="0"/>
    </xf>
    <xf numFmtId="0" fontId="2" fillId="6" borderId="53" xfId="0" applyNumberFormat="1" applyFont="1" applyFill="1" applyBorder="1" applyAlignment="1" applyProtection="1">
      <alignment horizontal="center" vertical="top" wrapText="1"/>
      <protection locked="0"/>
    </xf>
    <xf numFmtId="0" fontId="2" fillId="0" borderId="0" xfId="0" applyFont="1" applyAlignment="1">
      <alignment horizontal="left" wrapText="1"/>
    </xf>
    <xf numFmtId="0" fontId="61" fillId="6" borderId="0" xfId="0" applyFont="1" applyFill="1" applyAlignment="1">
      <alignment horizontal="left"/>
    </xf>
    <xf numFmtId="0" fontId="2" fillId="14" borderId="88" xfId="0" applyFont="1" applyFill="1" applyBorder="1" applyAlignment="1">
      <alignment horizontal="center" vertical="top" wrapText="1"/>
    </xf>
    <xf numFmtId="0" fontId="2" fillId="14" borderId="53" xfId="0" applyFont="1" applyFill="1" applyBorder="1" applyAlignment="1">
      <alignment horizontal="center" vertical="top" wrapText="1"/>
    </xf>
    <xf numFmtId="0" fontId="2" fillId="14" borderId="159" xfId="0" applyFont="1" applyFill="1" applyBorder="1" applyAlignment="1">
      <alignment horizontal="center" vertical="top" wrapText="1"/>
    </xf>
    <xf numFmtId="0" fontId="2" fillId="17" borderId="145" xfId="0" applyFont="1" applyFill="1" applyBorder="1" applyAlignment="1">
      <alignment horizontal="center" vertical="top" wrapText="1"/>
    </xf>
    <xf numFmtId="0" fontId="2" fillId="17" borderId="146" xfId="0" applyFont="1" applyFill="1" applyBorder="1" applyAlignment="1">
      <alignment horizontal="center" vertical="top" wrapText="1"/>
    </xf>
    <xf numFmtId="0" fontId="2" fillId="17" borderId="169" xfId="0" applyFont="1" applyFill="1" applyBorder="1" applyAlignment="1">
      <alignment horizontal="center" vertical="top" wrapText="1"/>
    </xf>
    <xf numFmtId="0" fontId="1" fillId="0" borderId="170" xfId="0" applyFont="1" applyBorder="1" applyAlignment="1">
      <alignment horizontal="center"/>
    </xf>
    <xf numFmtId="0" fontId="1" fillId="0" borderId="66" xfId="0" applyFont="1" applyBorder="1" applyAlignment="1">
      <alignment horizontal="center"/>
    </xf>
    <xf numFmtId="0" fontId="1" fillId="0" borderId="79" xfId="0" applyFont="1" applyBorder="1" applyAlignment="1">
      <alignment horizontal="center"/>
    </xf>
    <xf numFmtId="0" fontId="25" fillId="0" borderId="19" xfId="0" applyFont="1" applyFill="1" applyBorder="1" applyAlignment="1">
      <alignment horizontal="center" vertical="center"/>
    </xf>
    <xf numFmtId="0" fontId="31" fillId="0" borderId="54" xfId="0" applyFont="1" applyFill="1" applyBorder="1" applyAlignment="1">
      <alignment horizontal="center" vertical="center"/>
    </xf>
    <xf numFmtId="0" fontId="26" fillId="0" borderId="18" xfId="0" applyFont="1" applyFill="1" applyBorder="1" applyAlignment="1">
      <alignment horizontal="center"/>
    </xf>
    <xf numFmtId="0" fontId="25" fillId="0" borderId="20" xfId="0" applyFont="1" applyFill="1" applyBorder="1" applyAlignment="1">
      <alignment horizontal="center" vertical="center"/>
    </xf>
    <xf numFmtId="1" fontId="31" fillId="0" borderId="175" xfId="0" applyNumberFormat="1" applyFont="1" applyFill="1" applyBorder="1" applyAlignment="1">
      <alignment horizontal="center" vertical="center"/>
    </xf>
    <xf numFmtId="0" fontId="0" fillId="0" borderId="22" xfId="0" applyFill="1" applyBorder="1" applyAlignment="1">
      <alignment horizontal="center"/>
    </xf>
    <xf numFmtId="0" fontId="25" fillId="0" borderId="19"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33" fillId="0" borderId="18" xfId="0" applyFont="1" applyFill="1" applyBorder="1" applyAlignment="1">
      <alignment horizontal="center"/>
    </xf>
    <xf numFmtId="0" fontId="25" fillId="0" borderId="173" xfId="0" applyNumberFormat="1" applyFont="1" applyFill="1" applyBorder="1" applyAlignment="1">
      <alignment horizontal="center" vertical="center"/>
    </xf>
    <xf numFmtId="0" fontId="31" fillId="0" borderId="112" xfId="0" applyNumberFormat="1" applyFont="1" applyFill="1" applyBorder="1" applyAlignment="1">
      <alignment horizontal="center" vertical="center"/>
    </xf>
    <xf numFmtId="0" fontId="33" fillId="0" borderId="174" xfId="0" applyFont="1" applyFill="1" applyBorder="1" applyAlignment="1">
      <alignment horizontal="center"/>
    </xf>
    <xf numFmtId="0" fontId="2" fillId="0" borderId="13" xfId="0" applyFont="1" applyFill="1" applyBorder="1" applyAlignment="1">
      <alignment horizontal="center"/>
    </xf>
    <xf numFmtId="0" fontId="1" fillId="0" borderId="171" xfId="0" applyFont="1" applyFill="1" applyBorder="1" applyAlignment="1">
      <alignment horizontal="center" vertical="center"/>
    </xf>
    <xf numFmtId="0" fontId="1" fillId="0" borderId="172" xfId="0" applyFont="1" applyFill="1" applyBorder="1" applyAlignment="1">
      <alignment horizontal="center" vertical="center"/>
    </xf>
    <xf numFmtId="0" fontId="1" fillId="0" borderId="172" xfId="0" applyFont="1" applyBorder="1" applyAlignment="1">
      <alignment horizontal="center" vertical="center"/>
    </xf>
    <xf numFmtId="0" fontId="1" fillId="0" borderId="110" xfId="0" applyFont="1" applyFill="1" applyBorder="1" applyAlignment="1">
      <alignment horizontal="center" vertical="center"/>
    </xf>
    <xf numFmtId="49" fontId="20" fillId="6" borderId="116" xfId="0" applyNumberFormat="1" applyFont="1" applyFill="1" applyBorder="1" applyAlignment="1">
      <alignment horizontal="center" vertical="center" wrapText="1"/>
    </xf>
    <xf numFmtId="49" fontId="20" fillId="6" borderId="50" xfId="0" applyNumberFormat="1" applyFont="1" applyFill="1" applyBorder="1" applyAlignment="1">
      <alignment horizontal="center" vertical="center" wrapText="1"/>
    </xf>
    <xf numFmtId="49" fontId="20" fillId="6" borderId="117" xfId="0" applyNumberFormat="1" applyFont="1" applyFill="1" applyBorder="1" applyAlignment="1">
      <alignment horizontal="center" vertical="center" wrapText="1"/>
    </xf>
    <xf numFmtId="0" fontId="1" fillId="0" borderId="105" xfId="0" applyNumberFormat="1" applyFont="1" applyBorder="1" applyAlignment="1">
      <alignment vertical="center" wrapText="1"/>
    </xf>
    <xf numFmtId="0" fontId="0" fillId="0" borderId="105" xfId="0" applyNumberFormat="1" applyBorder="1" applyAlignment="1">
      <alignment vertical="center" wrapText="1"/>
    </xf>
    <xf numFmtId="0" fontId="0" fillId="0" borderId="0" xfId="0" applyNumberFormat="1" applyAlignment="1">
      <alignment vertical="center" wrapText="1"/>
    </xf>
    <xf numFmtId="0" fontId="0" fillId="0" borderId="45" xfId="0" applyNumberFormat="1" applyBorder="1" applyAlignment="1">
      <alignment vertical="center" wrapText="1"/>
    </xf>
    <xf numFmtId="0" fontId="17" fillId="0" borderId="77" xfId="0" applyFont="1" applyFill="1" applyBorder="1" applyAlignment="1">
      <alignment horizontal="left" vertical="top" wrapText="1"/>
    </xf>
    <xf numFmtId="0" fontId="0" fillId="0" borderId="0" xfId="0"/>
    <xf numFmtId="0" fontId="0" fillId="0" borderId="78" xfId="0" applyBorder="1"/>
    <xf numFmtId="0" fontId="0" fillId="0" borderId="77" xfId="0" applyBorder="1"/>
    <xf numFmtId="0" fontId="0" fillId="0" borderId="106" xfId="0" applyBorder="1"/>
    <xf numFmtId="0" fontId="0" fillId="0" borderId="45" xfId="0" applyBorder="1"/>
    <xf numFmtId="0" fontId="0" fillId="0" borderId="107" xfId="0" applyBorder="1"/>
    <xf numFmtId="0" fontId="1" fillId="0" borderId="116" xfId="0" applyFont="1" applyBorder="1" applyAlignment="1">
      <alignment vertical="top" wrapText="1"/>
    </xf>
    <xf numFmtId="0" fontId="1" fillId="0" borderId="50" xfId="0" applyFont="1" applyBorder="1" applyAlignment="1">
      <alignment vertical="top" wrapText="1"/>
    </xf>
    <xf numFmtId="0" fontId="1" fillId="0" borderId="117" xfId="0" applyFont="1" applyBorder="1" applyAlignment="1">
      <alignment vertical="top" wrapText="1"/>
    </xf>
    <xf numFmtId="49" fontId="20" fillId="6" borderId="104" xfId="0" applyNumberFormat="1" applyFont="1" applyFill="1" applyBorder="1" applyAlignment="1">
      <alignment horizontal="center" vertical="center" wrapText="1"/>
    </xf>
    <xf numFmtId="49" fontId="20" fillId="6" borderId="105" xfId="0" applyNumberFormat="1" applyFont="1" applyFill="1" applyBorder="1" applyAlignment="1">
      <alignment horizontal="center" vertical="center" wrapText="1"/>
    </xf>
    <xf numFmtId="49" fontId="20" fillId="6" borderId="43" xfId="0" applyNumberFormat="1" applyFont="1" applyFill="1" applyBorder="1" applyAlignment="1">
      <alignment horizontal="center" vertical="center" wrapText="1"/>
    </xf>
    <xf numFmtId="0" fontId="17" fillId="0" borderId="104" xfId="0" applyFont="1" applyBorder="1" applyAlignment="1">
      <alignment horizontal="left" vertical="top" wrapText="1"/>
    </xf>
    <xf numFmtId="0" fontId="17" fillId="0" borderId="105" xfId="0" applyFont="1" applyBorder="1" applyAlignment="1">
      <alignment horizontal="left" vertical="top" wrapText="1"/>
    </xf>
    <xf numFmtId="0" fontId="17" fillId="0" borderId="43" xfId="0" applyFont="1" applyBorder="1" applyAlignment="1">
      <alignment horizontal="left" vertical="top" wrapText="1"/>
    </xf>
    <xf numFmtId="0" fontId="17" fillId="0" borderId="77" xfId="0" applyFont="1" applyBorder="1" applyAlignment="1">
      <alignment horizontal="left" vertical="top" wrapText="1"/>
    </xf>
    <xf numFmtId="0" fontId="17" fillId="0" borderId="0" xfId="0" applyFont="1" applyBorder="1" applyAlignment="1">
      <alignment horizontal="left" vertical="top" wrapText="1"/>
    </xf>
    <xf numFmtId="0" fontId="17" fillId="0" borderId="78" xfId="0" applyFont="1" applyBorder="1" applyAlignment="1">
      <alignment horizontal="left" vertical="top" wrapText="1"/>
    </xf>
    <xf numFmtId="0" fontId="17" fillId="0" borderId="106" xfId="0" applyFont="1" applyBorder="1" applyAlignment="1">
      <alignment horizontal="left" vertical="top" wrapText="1"/>
    </xf>
    <xf numFmtId="0" fontId="17" fillId="0" borderId="45" xfId="0" applyFont="1" applyBorder="1" applyAlignment="1">
      <alignment horizontal="left" vertical="top" wrapText="1"/>
    </xf>
    <xf numFmtId="0" fontId="17" fillId="0" borderId="107" xfId="0" applyFont="1" applyBorder="1" applyAlignment="1">
      <alignment horizontal="left" vertical="top" wrapText="1"/>
    </xf>
    <xf numFmtId="0" fontId="0" fillId="0" borderId="105" xfId="0" applyBorder="1" applyAlignment="1">
      <alignment horizontal="left" vertical="top" wrapText="1"/>
    </xf>
    <xf numFmtId="0" fontId="0" fillId="0" borderId="43" xfId="0" applyBorder="1" applyAlignment="1">
      <alignment horizontal="left" vertical="top" wrapText="1"/>
    </xf>
    <xf numFmtId="0" fontId="0" fillId="0" borderId="106" xfId="0" applyBorder="1" applyAlignment="1">
      <alignment horizontal="left" vertical="top" wrapText="1"/>
    </xf>
    <xf numFmtId="0" fontId="0" fillId="0" borderId="45" xfId="0" applyBorder="1" applyAlignment="1">
      <alignment horizontal="left" vertical="top" wrapText="1"/>
    </xf>
    <xf numFmtId="0" fontId="0" fillId="0" borderId="107" xfId="0" applyBorder="1" applyAlignment="1">
      <alignment horizontal="left" vertical="top" wrapText="1"/>
    </xf>
    <xf numFmtId="0" fontId="17" fillId="0" borderId="0" xfId="0" applyFont="1" applyFill="1" applyBorder="1" applyAlignment="1">
      <alignment horizontal="left" vertical="top" wrapText="1"/>
    </xf>
    <xf numFmtId="0" fontId="17" fillId="0" borderId="78" xfId="0" applyFont="1" applyFill="1" applyBorder="1" applyAlignment="1">
      <alignment horizontal="left" vertical="top" wrapText="1"/>
    </xf>
    <xf numFmtId="49" fontId="71" fillId="7" borderId="77" xfId="0" applyNumberFormat="1" applyFont="1" applyFill="1" applyBorder="1" applyAlignment="1">
      <alignment horizontal="left" vertical="top" wrapText="1"/>
    </xf>
    <xf numFmtId="49" fontId="71" fillId="7" borderId="0" xfId="0" applyNumberFormat="1" applyFont="1" applyFill="1" applyBorder="1" applyAlignment="1">
      <alignment horizontal="left" vertical="top" wrapText="1"/>
    </xf>
    <xf numFmtId="49" fontId="71" fillId="7" borderId="78" xfId="0" applyNumberFormat="1" applyFont="1" applyFill="1" applyBorder="1" applyAlignment="1">
      <alignment horizontal="left" vertical="top" wrapText="1"/>
    </xf>
    <xf numFmtId="0" fontId="17" fillId="5" borderId="77"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78" xfId="0" applyFont="1" applyFill="1" applyBorder="1" applyAlignment="1">
      <alignment horizontal="left" vertical="top" wrapText="1"/>
    </xf>
    <xf numFmtId="49" fontId="17" fillId="14" borderId="77" xfId="0" applyNumberFormat="1" applyFont="1" applyFill="1" applyBorder="1" applyAlignment="1">
      <alignment horizontal="left" vertical="top" wrapText="1"/>
    </xf>
    <xf numFmtId="49" fontId="17" fillId="14" borderId="0" xfId="0" applyNumberFormat="1" applyFont="1" applyFill="1" applyBorder="1" applyAlignment="1">
      <alignment horizontal="left" vertical="top" wrapText="1"/>
    </xf>
    <xf numFmtId="49" fontId="17" fillId="14" borderId="78" xfId="0" applyNumberFormat="1" applyFont="1" applyFill="1" applyBorder="1" applyAlignment="1">
      <alignment horizontal="left" vertical="top" wrapText="1"/>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1965610552488"/>
          <c:y val="5.2478208816692122E-2"/>
          <c:w val="0.84458246377824442"/>
          <c:h val="0.78134222015963828"/>
        </c:manualLayout>
      </c:layout>
      <c:areaChart>
        <c:grouping val="stacked"/>
        <c:varyColors val="0"/>
        <c:ser>
          <c:idx val="0"/>
          <c:order val="0"/>
          <c:tx>
            <c:v>Maischschema grafisch</c:v>
          </c:tx>
          <c:spPr>
            <a:pattFill prst="pct40">
              <a:fgClr>
                <a:srgbClr val="CCFFFF"/>
              </a:fgClr>
              <a:bgClr>
                <a:srgbClr val="3366FF"/>
              </a:bgClr>
            </a:pattFill>
            <a:ln w="12700">
              <a:solidFill>
                <a:srgbClr val="000000"/>
              </a:solidFill>
              <a:prstDash val="solid"/>
            </a:ln>
          </c:spPr>
          <c:cat>
            <c:numRef>
              <c:f>tabellen!$E$4:$E$19</c:f>
              <c:numCache>
                <c:formatCode>0</c:formatCode>
                <c:ptCount val="16"/>
                <c:pt idx="0">
                  <c:v>0</c:v>
                </c:pt>
                <c:pt idx="1">
                  <c:v>0</c:v>
                </c:pt>
                <c:pt idx="2">
                  <c:v>12</c:v>
                </c:pt>
                <c:pt idx="3">
                  <c:v>22</c:v>
                </c:pt>
                <c:pt idx="4">
                  <c:v>35</c:v>
                </c:pt>
                <c:pt idx="5">
                  <c:v>80</c:v>
                </c:pt>
                <c:pt idx="6">
                  <c:v>89</c:v>
                </c:pt>
                <c:pt idx="7">
                  <c:v>124</c:v>
                </c:pt>
                <c:pt idx="8">
                  <c:v>130</c:v>
                </c:pt>
                <c:pt idx="9">
                  <c:v>131</c:v>
                </c:pt>
                <c:pt idx="10">
                  <c:v>131</c:v>
                </c:pt>
                <c:pt idx="11">
                  <c:v>191</c:v>
                </c:pt>
                <c:pt idx="12">
                  <c:v>225</c:v>
                </c:pt>
                <c:pt idx="13">
                  <c:v>295</c:v>
                </c:pt>
                <c:pt idx="14">
                  <c:v>295</c:v>
                </c:pt>
                <c:pt idx="15">
                  <c:v>335</c:v>
                </c:pt>
              </c:numCache>
            </c:numRef>
          </c:cat>
          <c:val>
            <c:numRef>
              <c:f>tabellen!$D$4:$D$19</c:f>
              <c:numCache>
                <c:formatCode>General</c:formatCode>
                <c:ptCount val="16"/>
                <c:pt idx="0">
                  <c:v>38</c:v>
                </c:pt>
                <c:pt idx="1">
                  <c:v>38</c:v>
                </c:pt>
                <c:pt idx="2">
                  <c:v>50</c:v>
                </c:pt>
                <c:pt idx="3">
                  <c:v>50</c:v>
                </c:pt>
                <c:pt idx="4">
                  <c:v>63</c:v>
                </c:pt>
                <c:pt idx="5">
                  <c:v>63</c:v>
                </c:pt>
                <c:pt idx="6">
                  <c:v>72</c:v>
                </c:pt>
                <c:pt idx="7">
                  <c:v>72</c:v>
                </c:pt>
                <c:pt idx="8">
                  <c:v>78</c:v>
                </c:pt>
                <c:pt idx="9">
                  <c:v>78</c:v>
                </c:pt>
                <c:pt idx="10">
                  <c:v>78</c:v>
                </c:pt>
                <c:pt idx="11">
                  <c:v>66</c:v>
                </c:pt>
                <c:pt idx="12">
                  <c:v>100</c:v>
                </c:pt>
                <c:pt idx="13">
                  <c:v>100</c:v>
                </c:pt>
                <c:pt idx="14">
                  <c:v>100</c:v>
                </c:pt>
                <c:pt idx="15">
                  <c:v>20</c:v>
                </c:pt>
              </c:numCache>
            </c:numRef>
          </c:val>
          <c:extLst>
            <c:ext xmlns:c16="http://schemas.microsoft.com/office/drawing/2014/chart" uri="{C3380CC4-5D6E-409C-BE32-E72D297353CC}">
              <c16:uniqueId val="{00000000-EE4A-46A7-BA8E-EE541FFD25A1}"/>
            </c:ext>
          </c:extLst>
        </c:ser>
        <c:dLbls>
          <c:showLegendKey val="0"/>
          <c:showVal val="0"/>
          <c:showCatName val="0"/>
          <c:showSerName val="0"/>
          <c:showPercent val="0"/>
          <c:showBubbleSize val="0"/>
        </c:dLbls>
        <c:axId val="38552704"/>
        <c:axId val="38555008"/>
      </c:areaChart>
      <c:dateAx>
        <c:axId val="38552704"/>
        <c:scaling>
          <c:orientation val="minMax"/>
          <c:min val="1"/>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Comic Sans MS"/>
                    <a:ea typeface="Comic Sans MS"/>
                    <a:cs typeface="Comic Sans MS"/>
                  </a:defRPr>
                </a:pPr>
                <a:r>
                  <a:rPr lang="nl-NL"/>
                  <a:t>tijdsverloop in minuten</a:t>
                </a:r>
              </a:p>
            </c:rich>
          </c:tx>
          <c:layout>
            <c:manualLayout>
              <c:xMode val="edge"/>
              <c:yMode val="edge"/>
              <c:x val="0.3660538138254199"/>
              <c:y val="0.915453119380485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mic Sans MS"/>
                <a:ea typeface="Comic Sans MS"/>
                <a:cs typeface="Comic Sans MS"/>
              </a:defRPr>
            </a:pPr>
            <a:endParaRPr lang="nl-NL"/>
          </a:p>
        </c:txPr>
        <c:crossAx val="38555008"/>
        <c:crosses val="autoZero"/>
        <c:auto val="0"/>
        <c:lblOffset val="100"/>
        <c:baseTimeUnit val="days"/>
        <c:majorUnit val="30"/>
        <c:majorTimeUnit val="days"/>
        <c:minorUnit val="10"/>
        <c:minorTimeUnit val="days"/>
      </c:dateAx>
      <c:valAx>
        <c:axId val="3855500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nl-NL" sz="900" b="0" i="0" u="none" strike="noStrike" baseline="0">
                    <a:solidFill>
                      <a:srgbClr val="000000"/>
                    </a:solidFill>
                    <a:latin typeface="Comic Sans MS"/>
                  </a:rPr>
                  <a:t>temperatuur in </a:t>
                </a:r>
                <a:r>
                  <a:rPr lang="nl-NL" sz="900" b="0" i="0" u="none" strike="noStrike" baseline="0">
                    <a:solidFill>
                      <a:srgbClr val="000000"/>
                    </a:solidFill>
                    <a:latin typeface="Calibri"/>
                    <a:cs typeface="Calibri"/>
                  </a:rPr>
                  <a:t>°</a:t>
                </a:r>
                <a:r>
                  <a:rPr lang="nl-NL" sz="900" b="0" i="0" u="none" strike="noStrike" baseline="0">
                    <a:solidFill>
                      <a:srgbClr val="000000"/>
                    </a:solidFill>
                    <a:latin typeface="Comic Sans MS"/>
                    <a:cs typeface="Calibri"/>
                  </a:rPr>
                  <a:t>C</a:t>
                </a:r>
                <a:endParaRPr lang="nl-NL" sz="900" b="0" i="0" u="none" strike="noStrike" baseline="0">
                  <a:solidFill>
                    <a:srgbClr val="000000"/>
                  </a:solidFill>
                  <a:latin typeface="Comic Sans MS"/>
                </a:endParaRPr>
              </a:p>
            </c:rich>
          </c:tx>
          <c:layout>
            <c:manualLayout>
              <c:xMode val="edge"/>
              <c:yMode val="edge"/>
              <c:x val="1.0224948875255619E-2"/>
              <c:y val="0.294460947483606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nl-NL"/>
          </a:p>
        </c:txPr>
        <c:crossAx val="38552704"/>
        <c:crossesAt val="1"/>
        <c:crossBetween val="midCat"/>
      </c:valAx>
      <c:spPr>
        <a:solidFill>
          <a:srgbClr val="FFFFCC"/>
        </a:solidFill>
        <a:ln w="12700">
          <a:solidFill>
            <a:srgbClr val="FFFFCC"/>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omic Sans MS"/>
          <a:ea typeface="Comic Sans MS"/>
          <a:cs typeface="Comic Sans MS"/>
        </a:defRPr>
      </a:pPr>
      <a:endParaRPr lang="nl-NL"/>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omic Sans MS"/>
                <a:ea typeface="Comic Sans MS"/>
                <a:cs typeface="Comic Sans MS"/>
              </a:defRPr>
            </a:pPr>
            <a:r>
              <a:rPr lang="nl-NL"/>
              <a:t>Opvolgen vergistings proces</a:t>
            </a:r>
          </a:p>
        </c:rich>
      </c:tx>
      <c:layout>
        <c:manualLayout>
          <c:xMode val="edge"/>
          <c:yMode val="edge"/>
          <c:x val="0.33075475816973582"/>
          <c:y val="2.8355387523629608E-2"/>
        </c:manualLayout>
      </c:layout>
      <c:overlay val="0"/>
      <c:spPr>
        <a:noFill/>
        <a:ln w="25400">
          <a:noFill/>
        </a:ln>
      </c:spPr>
    </c:title>
    <c:autoTitleDeleted val="0"/>
    <c:plotArea>
      <c:layout>
        <c:manualLayout>
          <c:layoutTarget val="inner"/>
          <c:xMode val="edge"/>
          <c:yMode val="edge"/>
          <c:x val="0.15667326209016691"/>
          <c:y val="0.15500959487387322"/>
          <c:w val="0.65570661541440489"/>
          <c:h val="0.68998173328004464"/>
        </c:manualLayout>
      </c:layout>
      <c:scatterChart>
        <c:scatterStyle val="lineMarker"/>
        <c:varyColors val="0"/>
        <c:ser>
          <c:idx val="0"/>
          <c:order val="0"/>
          <c:tx>
            <c:strRef>
              <c:f>vergisting!$C$6</c:f>
              <c:strCache>
                <c:ptCount val="1"/>
                <c:pt idx="0">
                  <c:v>°Pt werkelijk</c:v>
                </c:pt>
              </c:strCache>
            </c:strRef>
          </c:tx>
          <c:spPr>
            <a:ln w="25400">
              <a:solidFill>
                <a:srgbClr val="0000FF"/>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vergisting!$C$7:$C$22</c:f>
              <c:numCache>
                <c:formatCode>0.0</c:formatCode>
                <c:ptCount val="16"/>
                <c:pt idx="0">
                  <c:v>12.474804080000013</c:v>
                </c:pt>
                <c:pt idx="1">
                  <c:v>11.227323672000011</c:v>
                </c:pt>
                <c:pt idx="2">
                  <c:v>9.9798432640000101</c:v>
                </c:pt>
                <c:pt idx="3">
                  <c:v>8.7323628560000088</c:v>
                </c:pt>
                <c:pt idx="4">
                  <c:v>7.4848824480000076</c:v>
                </c:pt>
                <c:pt idx="5">
                  <c:v>6.2374020400000063</c:v>
                </c:pt>
                <c:pt idx="6">
                  <c:v>4.989921632000005</c:v>
                </c:pt>
                <c:pt idx="7">
                  <c:v>4.7404255504000048</c:v>
                </c:pt>
                <c:pt idx="8">
                  <c:v>4.6156775096000047</c:v>
                </c:pt>
                <c:pt idx="9">
                  <c:v>4.4909294688000045</c:v>
                </c:pt>
                <c:pt idx="10">
                  <c:v>4.3661814280000044</c:v>
                </c:pt>
                <c:pt idx="11">
                  <c:v>4.2414333872000043</c:v>
                </c:pt>
                <c:pt idx="12">
                  <c:v>4.1166853464000033</c:v>
                </c:pt>
                <c:pt idx="13">
                  <c:v>3.9919373056000036</c:v>
                </c:pt>
                <c:pt idx="14">
                  <c:v>3.8671892648000044</c:v>
                </c:pt>
                <c:pt idx="15">
                  <c:v>3.7424412240000042</c:v>
                </c:pt>
              </c:numCache>
            </c:numRef>
          </c:yVal>
          <c:smooth val="1"/>
          <c:extLst>
            <c:ext xmlns:c16="http://schemas.microsoft.com/office/drawing/2014/chart" uri="{C3380CC4-5D6E-409C-BE32-E72D297353CC}">
              <c16:uniqueId val="{00000000-CDA5-415D-9356-4143EB81FDB9}"/>
            </c:ext>
          </c:extLst>
        </c:ser>
        <c:ser>
          <c:idx val="1"/>
          <c:order val="1"/>
          <c:tx>
            <c:strRef>
              <c:f>vergisting!$D$6</c:f>
              <c:strCache>
                <c:ptCount val="1"/>
                <c:pt idx="0">
                  <c:v>°Pt gemeten</c:v>
                </c:pt>
              </c:strCache>
            </c:strRef>
          </c:tx>
          <c:spPr>
            <a:ln w="25400">
              <a:solidFill>
                <a:srgbClr val="339966"/>
              </a:solidFill>
              <a:prstDash val="solid"/>
            </a:ln>
          </c:spPr>
          <c:marker>
            <c:symbol val="square"/>
            <c:size val="5"/>
            <c:spPr>
              <a:solidFill>
                <a:srgbClr val="339966"/>
              </a:solidFill>
              <a:ln>
                <a:solidFill>
                  <a:srgbClr val="339966"/>
                </a:solidFill>
                <a:prstDash val="solid"/>
              </a:ln>
            </c:spPr>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vergisting!$D$7:$D$22</c:f>
              <c:numCache>
                <c:formatCode>0.0</c:formatCode>
                <c:ptCount val="16"/>
                <c:pt idx="0">
                  <c:v>12.474804080000013</c:v>
                </c:pt>
                <c:pt idx="1">
                  <c:v>11.497715050434012</c:v>
                </c:pt>
                <c:pt idx="2">
                  <c:v>10.520626020868011</c:v>
                </c:pt>
                <c:pt idx="3">
                  <c:v>9.5435369913020089</c:v>
                </c:pt>
                <c:pt idx="4">
                  <c:v>8.5664479617360083</c:v>
                </c:pt>
                <c:pt idx="5">
                  <c:v>7.5893589321700077</c:v>
                </c:pt>
                <c:pt idx="6">
                  <c:v>6.612269902604007</c:v>
                </c:pt>
                <c:pt idx="7">
                  <c:v>6.4168520966908069</c:v>
                </c:pt>
                <c:pt idx="8">
                  <c:v>6.319143193734206</c:v>
                </c:pt>
                <c:pt idx="9">
                  <c:v>6.2214342907776068</c:v>
                </c:pt>
                <c:pt idx="10">
                  <c:v>6.1237253878210058</c:v>
                </c:pt>
                <c:pt idx="11">
                  <c:v>6.0260164848644067</c:v>
                </c:pt>
                <c:pt idx="12">
                  <c:v>5.9283075819078057</c:v>
                </c:pt>
                <c:pt idx="13">
                  <c:v>5.8305986789512056</c:v>
                </c:pt>
                <c:pt idx="14">
                  <c:v>5.7328897759946056</c:v>
                </c:pt>
                <c:pt idx="15">
                  <c:v>5.6351808730380064</c:v>
                </c:pt>
              </c:numCache>
            </c:numRef>
          </c:yVal>
          <c:smooth val="1"/>
          <c:extLst>
            <c:ext xmlns:c16="http://schemas.microsoft.com/office/drawing/2014/chart" uri="{C3380CC4-5D6E-409C-BE32-E72D297353CC}">
              <c16:uniqueId val="{00000001-CDA5-415D-9356-4143EB81FDB9}"/>
            </c:ext>
          </c:extLst>
        </c:ser>
        <c:dLbls>
          <c:showLegendKey val="0"/>
          <c:showVal val="0"/>
          <c:showCatName val="0"/>
          <c:showSerName val="0"/>
          <c:showPercent val="0"/>
          <c:showBubbleSize val="0"/>
        </c:dLbls>
        <c:axId val="38872192"/>
        <c:axId val="38874112"/>
      </c:scatterChart>
      <c:scatterChart>
        <c:scatterStyle val="lineMarker"/>
        <c:varyColors val="0"/>
        <c:ser>
          <c:idx val="0"/>
          <c:order val="2"/>
          <c:tx>
            <c:strRef>
              <c:f>vergisting!$E$6</c:f>
              <c:strCache>
                <c:ptCount val="1"/>
                <c:pt idx="0">
                  <c:v>% Vol Alc</c:v>
                </c:pt>
              </c:strCache>
            </c:strRef>
          </c:tx>
          <c:spPr>
            <a:ln w="25400">
              <a:solidFill>
                <a:srgbClr val="FF0000"/>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vergisting!$E$7:$E$22</c:f>
              <c:numCache>
                <c:formatCode>0.0</c:formatCode>
                <c:ptCount val="16"/>
                <c:pt idx="0">
                  <c:v>0</c:v>
                </c:pt>
                <c:pt idx="1">
                  <c:v>0.80635615726235821</c:v>
                </c:pt>
                <c:pt idx="2">
                  <c:v>1.6127123145247164</c:v>
                </c:pt>
                <c:pt idx="3">
                  <c:v>2.4190684717870745</c:v>
                </c:pt>
                <c:pt idx="4">
                  <c:v>3.2254246290494328</c:v>
                </c:pt>
                <c:pt idx="5">
                  <c:v>4.0317807863117912</c:v>
                </c:pt>
                <c:pt idx="6">
                  <c:v>4.838136943574149</c:v>
                </c:pt>
                <c:pt idx="7">
                  <c:v>4.9994081750266206</c:v>
                </c:pt>
                <c:pt idx="8">
                  <c:v>5.0800437907528568</c:v>
                </c:pt>
                <c:pt idx="9">
                  <c:v>5.1606794064790931</c:v>
                </c:pt>
                <c:pt idx="10">
                  <c:v>5.2413150222053284</c:v>
                </c:pt>
                <c:pt idx="11">
                  <c:v>5.3219506379315638</c:v>
                </c:pt>
                <c:pt idx="12">
                  <c:v>5.4025862536577991</c:v>
                </c:pt>
                <c:pt idx="13">
                  <c:v>5.4832218693840362</c:v>
                </c:pt>
                <c:pt idx="14">
                  <c:v>5.5638574851102716</c:v>
                </c:pt>
                <c:pt idx="15">
                  <c:v>5.6444931008365078</c:v>
                </c:pt>
              </c:numCache>
            </c:numRef>
          </c:yVal>
          <c:smooth val="1"/>
          <c:extLst>
            <c:ext xmlns:c16="http://schemas.microsoft.com/office/drawing/2014/chart" uri="{C3380CC4-5D6E-409C-BE32-E72D297353CC}">
              <c16:uniqueId val="{00000002-CDA5-415D-9356-4143EB81FDB9}"/>
            </c:ext>
          </c:extLst>
        </c:ser>
        <c:dLbls>
          <c:showLegendKey val="0"/>
          <c:showVal val="0"/>
          <c:showCatName val="0"/>
          <c:showSerName val="0"/>
          <c:showPercent val="0"/>
          <c:showBubbleSize val="0"/>
        </c:dLbls>
        <c:axId val="38880384"/>
        <c:axId val="38881920"/>
      </c:scatterChart>
      <c:valAx>
        <c:axId val="38872192"/>
        <c:scaling>
          <c:orientation val="minMax"/>
        </c:scaling>
        <c:delete val="0"/>
        <c:axPos val="b"/>
        <c:majorGridlines>
          <c:spPr>
            <a:ln w="3175">
              <a:solidFill>
                <a:srgbClr val="000000"/>
              </a:solidFill>
              <a:prstDash val="sysDash"/>
            </a:ln>
          </c:spPr>
        </c:majorGridlines>
        <c:title>
          <c:tx>
            <c:rich>
              <a:bodyPr/>
              <a:lstStyle/>
              <a:p>
                <a:pPr>
                  <a:defRPr sz="825" b="1" i="0" u="none" strike="noStrike" baseline="0">
                    <a:solidFill>
                      <a:srgbClr val="000000"/>
                    </a:solidFill>
                    <a:latin typeface="Comic Sans MS"/>
                    <a:ea typeface="Comic Sans MS"/>
                    <a:cs typeface="Comic Sans MS"/>
                  </a:defRPr>
                </a:pPr>
                <a:r>
                  <a:rPr lang="nl-NL"/>
                  <a:t>Werkelijke vergistinggraad</a:t>
                </a:r>
              </a:p>
            </c:rich>
          </c:tx>
          <c:layout>
            <c:manualLayout>
              <c:xMode val="edge"/>
              <c:yMode val="edge"/>
              <c:x val="0.3442944100072598"/>
              <c:y val="0.90548283543952091"/>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950" b="0" i="0" u="none" strike="noStrike" baseline="0">
                <a:solidFill>
                  <a:srgbClr val="000000"/>
                </a:solidFill>
                <a:latin typeface="Comic Sans MS"/>
                <a:ea typeface="Comic Sans MS"/>
                <a:cs typeface="Comic Sans MS"/>
              </a:defRPr>
            </a:pPr>
            <a:endParaRPr lang="nl-NL"/>
          </a:p>
        </c:txPr>
        <c:crossAx val="38874112"/>
        <c:crossesAt val="0"/>
        <c:crossBetween val="midCat"/>
        <c:majorUnit val="0.1"/>
        <c:minorUnit val="0.05"/>
      </c:valAx>
      <c:valAx>
        <c:axId val="38874112"/>
        <c:scaling>
          <c:orientation val="minMax"/>
          <c:max val="22"/>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nl-NL" sz="1000" b="1" i="0" u="none" strike="noStrike" baseline="0">
                    <a:solidFill>
                      <a:srgbClr val="000000"/>
                    </a:solidFill>
                    <a:latin typeface="Calibri"/>
                    <a:cs typeface="Calibri"/>
                  </a:rPr>
                  <a:t>°</a:t>
                </a:r>
                <a:r>
                  <a:rPr lang="nl-NL" sz="1000" b="1" i="0" u="none" strike="noStrike" baseline="0">
                    <a:solidFill>
                      <a:srgbClr val="000000"/>
                    </a:solidFill>
                    <a:latin typeface="Comic Sans MS"/>
                    <a:cs typeface="Calibri"/>
                  </a:rPr>
                  <a:t>Pt</a:t>
                </a:r>
                <a:endParaRPr lang="nl-NL" sz="1000" b="1" i="0" u="none" strike="noStrike" baseline="0">
                  <a:solidFill>
                    <a:srgbClr val="000000"/>
                  </a:solidFill>
                  <a:latin typeface="Comic Sans MS"/>
                </a:endParaRPr>
              </a:p>
            </c:rich>
          </c:tx>
          <c:layout>
            <c:manualLayout>
              <c:xMode val="edge"/>
              <c:yMode val="edge"/>
              <c:x val="9.6711798839458508E-3"/>
              <c:y val="0.42344085061200998"/>
            </c:manualLayout>
          </c:layout>
          <c:overlay val="0"/>
          <c:spPr>
            <a:noFill/>
            <a:ln w="25400">
              <a:noFill/>
            </a:ln>
          </c:spPr>
        </c:title>
        <c:numFmt formatCode="0.0" sourceLinked="1"/>
        <c:majorTickMark val="out"/>
        <c:minorTickMark val="none"/>
        <c:tickLblPos val="nextTo"/>
        <c:spPr>
          <a:ln w="3175">
            <a:solidFill>
              <a:srgbClr val="B3B3B3"/>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72192"/>
        <c:crossesAt val="0"/>
        <c:crossBetween val="midCat"/>
        <c:majorUnit val="2"/>
      </c:valAx>
      <c:valAx>
        <c:axId val="38880384"/>
        <c:scaling>
          <c:orientation val="minMax"/>
        </c:scaling>
        <c:delete val="0"/>
        <c:axPos val="b"/>
        <c:numFmt formatCode="0%" sourceLinked="1"/>
        <c:majorTickMark val="none"/>
        <c:minorTickMark val="none"/>
        <c:tickLblPos val="none"/>
        <c:spPr>
          <a:ln w="3175">
            <a:solidFill>
              <a:srgbClr val="FFFFFF"/>
            </a:solidFill>
            <a:prstDash val="solid"/>
          </a:ln>
        </c:spPr>
        <c:crossAx val="38881920"/>
        <c:crosses val="autoZero"/>
        <c:crossBetween val="midCat"/>
      </c:valAx>
      <c:valAx>
        <c:axId val="38881920"/>
        <c:scaling>
          <c:orientation val="minMax"/>
          <c:max val="11"/>
        </c:scaling>
        <c:delete val="0"/>
        <c:axPos val="r"/>
        <c:title>
          <c:tx>
            <c:rich>
              <a:bodyPr/>
              <a:lstStyle/>
              <a:p>
                <a:pPr>
                  <a:defRPr sz="1000" b="1" i="0" u="none" strike="noStrike" baseline="0">
                    <a:solidFill>
                      <a:srgbClr val="000000"/>
                    </a:solidFill>
                    <a:latin typeface="Comic Sans MS"/>
                    <a:ea typeface="Comic Sans MS"/>
                    <a:cs typeface="Comic Sans MS"/>
                  </a:defRPr>
                </a:pPr>
                <a:r>
                  <a:rPr lang="nl-NL"/>
                  <a:t>% Vol Alc</a:t>
                </a:r>
              </a:p>
            </c:rich>
          </c:tx>
          <c:layout>
            <c:manualLayout>
              <c:xMode val="edge"/>
              <c:yMode val="edge"/>
              <c:x val="0.88394665367022562"/>
              <c:y val="0.40075654059310623"/>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80384"/>
        <c:crosses val="max"/>
        <c:crossBetween val="midCat"/>
        <c:majorUnit val="1"/>
      </c:valAx>
      <c:spPr>
        <a:noFill/>
        <a:ln w="3175">
          <a:solidFill>
            <a:srgbClr val="FFFFFF"/>
          </a:solidFill>
          <a:prstDash val="solid"/>
        </a:ln>
      </c:spPr>
    </c:plotArea>
    <c:legend>
      <c:legendPos val="r"/>
      <c:layout>
        <c:manualLayout>
          <c:xMode val="edge"/>
          <c:yMode val="edge"/>
          <c:x val="7.9306314950476797E-2"/>
          <c:y val="0.95277237793290959"/>
          <c:w val="0.72536265655381271"/>
          <c:h val="4.1589290941656913E-2"/>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Comic Sans MS"/>
              <a:ea typeface="Comic Sans MS"/>
              <a:cs typeface="Comic Sans MS"/>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144" r="0.75000000000000144"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9525</xdr:colOff>
      <xdr:row>36</xdr:row>
      <xdr:rowOff>0</xdr:rowOff>
    </xdr:from>
    <xdr:to>
      <xdr:col>10</xdr:col>
      <xdr:colOff>762000</xdr:colOff>
      <xdr:row>50</xdr:row>
      <xdr:rowOff>171450</xdr:rowOff>
    </xdr:to>
    <xdr:graphicFrame macro="">
      <xdr:nvGraphicFramePr>
        <xdr:cNvPr id="270223" name="Chart 3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590550</xdr:colOff>
      <xdr:row>8</xdr:row>
      <xdr:rowOff>219075</xdr:rowOff>
    </xdr:from>
    <xdr:to>
      <xdr:col>24</xdr:col>
      <xdr:colOff>38100</xdr:colOff>
      <xdr:row>12</xdr:row>
      <xdr:rowOff>38100</xdr:rowOff>
    </xdr:to>
    <xdr:sp macro="" textlink="">
      <xdr:nvSpPr>
        <xdr:cNvPr id="270224" name="Text Box 307"/>
        <xdr:cNvSpPr txBox="1">
          <a:spLocks noChangeArrowheads="1"/>
        </xdr:cNvSpPr>
      </xdr:nvSpPr>
      <xdr:spPr bwMode="auto">
        <a:xfrm>
          <a:off x="15468600" y="28384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38100</xdr:colOff>
      <xdr:row>9</xdr:row>
      <xdr:rowOff>38100</xdr:rowOff>
    </xdr:from>
    <xdr:to>
      <xdr:col>13</xdr:col>
      <xdr:colOff>257175</xdr:colOff>
      <xdr:row>12</xdr:row>
      <xdr:rowOff>190500</xdr:rowOff>
    </xdr:to>
    <xdr:grpSp>
      <xdr:nvGrpSpPr>
        <xdr:cNvPr id="270225" name="Group 372"/>
        <xdr:cNvGrpSpPr>
          <a:grpSpLocks/>
        </xdr:cNvGrpSpPr>
      </xdr:nvGrpSpPr>
      <xdr:grpSpPr bwMode="auto">
        <a:xfrm>
          <a:off x="8739584" y="2925366"/>
          <a:ext cx="596107" cy="817165"/>
          <a:chOff x="1630" y="165"/>
          <a:chExt cx="63" cy="86"/>
        </a:xfrm>
      </xdr:grpSpPr>
      <xdr:sp macro="" textlink="">
        <xdr:nvSpPr>
          <xdr:cNvPr id="270235" name="AutoShape 2"/>
          <xdr:cNvSpPr>
            <a:spLocks noChangeArrowheads="1"/>
          </xdr:cNvSpPr>
        </xdr:nvSpPr>
        <xdr:spPr bwMode="auto">
          <a:xfrm rot="10800000">
            <a:off x="1630" y="165"/>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6" name="Text Box 362"/>
          <xdr:cNvSpPr txBox="1">
            <a:spLocks noChangeArrowheads="1"/>
          </xdr:cNvSpPr>
        </xdr:nvSpPr>
        <xdr:spPr bwMode="auto">
          <a:xfrm>
            <a:off x="1649" y="187"/>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2</a:t>
            </a:r>
          </a:p>
        </xdr:txBody>
      </xdr:sp>
    </xdr:grpSp>
    <xdr:clientData/>
  </xdr:twoCellAnchor>
  <xdr:twoCellAnchor>
    <xdr:from>
      <xdr:col>11</xdr:col>
      <xdr:colOff>38100</xdr:colOff>
      <xdr:row>25</xdr:row>
      <xdr:rowOff>47625</xdr:rowOff>
    </xdr:from>
    <xdr:to>
      <xdr:col>13</xdr:col>
      <xdr:colOff>257175</xdr:colOff>
      <xdr:row>28</xdr:row>
      <xdr:rowOff>200025</xdr:rowOff>
    </xdr:to>
    <xdr:grpSp>
      <xdr:nvGrpSpPr>
        <xdr:cNvPr id="270226" name="Group 371"/>
        <xdr:cNvGrpSpPr>
          <a:grpSpLocks/>
        </xdr:cNvGrpSpPr>
      </xdr:nvGrpSpPr>
      <xdr:grpSpPr bwMode="auto">
        <a:xfrm>
          <a:off x="8739584" y="6645672"/>
          <a:ext cx="596107" cy="817166"/>
          <a:chOff x="1616" y="328"/>
          <a:chExt cx="63" cy="86"/>
        </a:xfrm>
      </xdr:grpSpPr>
      <xdr:sp macro="" textlink="">
        <xdr:nvSpPr>
          <xdr:cNvPr id="270233" name="AutoShape 2"/>
          <xdr:cNvSpPr>
            <a:spLocks noChangeArrowheads="1"/>
          </xdr:cNvSpPr>
        </xdr:nvSpPr>
        <xdr:spPr bwMode="auto">
          <a:xfrm rot="10800000">
            <a:off x="1616" y="328"/>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8" name="Text Box 364"/>
          <xdr:cNvSpPr txBox="1">
            <a:spLocks noChangeArrowheads="1"/>
          </xdr:cNvSpPr>
        </xdr:nvSpPr>
        <xdr:spPr bwMode="auto">
          <a:xfrm>
            <a:off x="1635" y="350"/>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4</a:t>
            </a:r>
          </a:p>
        </xdr:txBody>
      </xdr:sp>
    </xdr:grpSp>
    <xdr:clientData/>
  </xdr:twoCellAnchor>
  <xdr:twoCellAnchor>
    <xdr:from>
      <xdr:col>11</xdr:col>
      <xdr:colOff>38100</xdr:colOff>
      <xdr:row>1</xdr:row>
      <xdr:rowOff>47625</xdr:rowOff>
    </xdr:from>
    <xdr:to>
      <xdr:col>13</xdr:col>
      <xdr:colOff>257175</xdr:colOff>
      <xdr:row>3</xdr:row>
      <xdr:rowOff>200025</xdr:rowOff>
    </xdr:to>
    <xdr:grpSp>
      <xdr:nvGrpSpPr>
        <xdr:cNvPr id="270227" name="Group 370"/>
        <xdr:cNvGrpSpPr>
          <a:grpSpLocks/>
        </xdr:cNvGrpSpPr>
      </xdr:nvGrpSpPr>
      <xdr:grpSpPr bwMode="auto">
        <a:xfrm>
          <a:off x="8739584" y="424656"/>
          <a:ext cx="596107" cy="827088"/>
          <a:chOff x="1689" y="252"/>
          <a:chExt cx="63" cy="86"/>
        </a:xfrm>
      </xdr:grpSpPr>
      <xdr:sp macro="" textlink="">
        <xdr:nvSpPr>
          <xdr:cNvPr id="270231" name="AutoShape 2"/>
          <xdr:cNvSpPr>
            <a:spLocks noChangeArrowheads="1"/>
          </xdr:cNvSpPr>
        </xdr:nvSpPr>
        <xdr:spPr bwMode="auto">
          <a:xfrm rot="10800000">
            <a:off x="1689" y="252"/>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0" name="Text Box 366"/>
          <xdr:cNvSpPr txBox="1">
            <a:spLocks noChangeArrowheads="1"/>
          </xdr:cNvSpPr>
        </xdr:nvSpPr>
        <xdr:spPr bwMode="auto">
          <a:xfrm>
            <a:off x="1708" y="274"/>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3</a:t>
            </a:r>
          </a:p>
        </xdr:txBody>
      </xdr:sp>
    </xdr:grpSp>
    <xdr:clientData/>
  </xdr:twoCellAnchor>
  <xdr:twoCellAnchor>
    <xdr:from>
      <xdr:col>11</xdr:col>
      <xdr:colOff>28575</xdr:colOff>
      <xdr:row>18</xdr:row>
      <xdr:rowOff>295275</xdr:rowOff>
    </xdr:from>
    <xdr:to>
      <xdr:col>13</xdr:col>
      <xdr:colOff>247650</xdr:colOff>
      <xdr:row>21</xdr:row>
      <xdr:rowOff>190500</xdr:rowOff>
    </xdr:to>
    <xdr:grpSp>
      <xdr:nvGrpSpPr>
        <xdr:cNvPr id="270228" name="Group 373"/>
        <xdr:cNvGrpSpPr>
          <a:grpSpLocks/>
        </xdr:cNvGrpSpPr>
      </xdr:nvGrpSpPr>
      <xdr:grpSpPr bwMode="auto">
        <a:xfrm>
          <a:off x="8730059" y="5097463"/>
          <a:ext cx="596107" cy="817959"/>
          <a:chOff x="1673" y="56"/>
          <a:chExt cx="63" cy="86"/>
        </a:xfrm>
      </xdr:grpSpPr>
      <xdr:sp macro="" textlink="">
        <xdr:nvSpPr>
          <xdr:cNvPr id="270229" name="AutoShape 2"/>
          <xdr:cNvSpPr>
            <a:spLocks noChangeArrowheads="1"/>
          </xdr:cNvSpPr>
        </xdr:nvSpPr>
        <xdr:spPr bwMode="auto">
          <a:xfrm rot="10800000">
            <a:off x="1673" y="56"/>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2" name="Text Box 368"/>
          <xdr:cNvSpPr txBox="1">
            <a:spLocks noChangeArrowheads="1"/>
          </xdr:cNvSpPr>
        </xdr:nvSpPr>
        <xdr:spPr bwMode="auto">
          <a:xfrm>
            <a:off x="1692" y="78"/>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8</xdr:row>
      <xdr:rowOff>0</xdr:rowOff>
    </xdr:from>
    <xdr:to>
      <xdr:col>12</xdr:col>
      <xdr:colOff>19050</xdr:colOff>
      <xdr:row>32</xdr:row>
      <xdr:rowOff>9525</xdr:rowOff>
    </xdr:to>
    <xdr:graphicFrame macro="">
      <xdr:nvGraphicFramePr>
        <xdr:cNvPr id="3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BZ85"/>
  <sheetViews>
    <sheetView showZeros="0" tabSelected="1" topLeftCell="A7" zoomScale="96" zoomScaleNormal="96" zoomScaleSheetLayoutView="100" workbookViewId="0">
      <selection activeCell="H20" sqref="H20:K20"/>
    </sheetView>
  </sheetViews>
  <sheetFormatPr defaultColWidth="9.140625" defaultRowHeight="15" x14ac:dyDescent="0.3"/>
  <cols>
    <col min="1" max="1" width="7.140625" style="35" customWidth="1"/>
    <col min="2" max="2" width="6" style="36" customWidth="1"/>
    <col min="3" max="3" width="21.28515625" style="2" customWidth="1"/>
    <col min="4" max="4" width="13.85546875" style="37" customWidth="1"/>
    <col min="5" max="11" width="11.7109375" style="2" customWidth="1"/>
    <col min="12" max="12" width="2.140625" style="2" customWidth="1"/>
    <col min="13" max="13" width="3.5703125" style="2" customWidth="1"/>
    <col min="14" max="14" width="4.140625" style="2" customWidth="1"/>
    <col min="15" max="15" width="11.85546875" style="2" customWidth="1"/>
    <col min="16" max="16" width="15.85546875" style="2" customWidth="1"/>
    <col min="17" max="17" width="9.5703125" style="2" customWidth="1"/>
    <col min="18" max="21" width="9.140625" style="2"/>
    <col min="22" max="78" width="9.140625" style="121"/>
    <col min="79" max="16384" width="9.140625" style="2"/>
  </cols>
  <sheetData>
    <row r="1" spans="1:26" s="3" customFormat="1" ht="30" customHeight="1" thickBot="1" x14ac:dyDescent="0.5">
      <c r="A1" s="500" t="s">
        <v>1096</v>
      </c>
      <c r="B1" s="501"/>
      <c r="C1" s="502"/>
      <c r="D1" s="137" t="s">
        <v>423</v>
      </c>
      <c r="E1" s="174" t="str">
        <f xml:space="preserve"> 'hulp r'!B6</f>
        <v>A</v>
      </c>
      <c r="F1" s="135" t="s">
        <v>422</v>
      </c>
      <c r="G1" s="503">
        <v>44961</v>
      </c>
      <c r="H1" s="504"/>
      <c r="I1" s="135" t="s">
        <v>0</v>
      </c>
      <c r="J1" s="560"/>
      <c r="K1" s="561"/>
      <c r="L1" s="140"/>
      <c r="M1" s="177"/>
      <c r="N1" s="179"/>
      <c r="O1" s="546" t="s">
        <v>1</v>
      </c>
      <c r="P1" s="546"/>
      <c r="R1" s="547" t="s">
        <v>1093</v>
      </c>
      <c r="S1" s="548"/>
      <c r="T1" s="548"/>
      <c r="U1" s="549"/>
      <c r="V1" s="186"/>
    </row>
    <row r="2" spans="1:26" s="3" customFormat="1" ht="27.75" customHeight="1" thickBot="1" x14ac:dyDescent="0.5">
      <c r="A2" s="496" t="s">
        <v>2</v>
      </c>
      <c r="B2" s="497"/>
      <c r="C2" s="287" t="s">
        <v>805</v>
      </c>
      <c r="D2" s="136" t="s">
        <v>3</v>
      </c>
      <c r="E2" s="498" t="s">
        <v>1097</v>
      </c>
      <c r="F2" s="498"/>
      <c r="G2" s="498"/>
      <c r="H2" s="498"/>
      <c r="I2" s="498"/>
      <c r="J2" s="498"/>
      <c r="K2" s="499"/>
      <c r="M2" s="177"/>
      <c r="N2" s="179"/>
      <c r="O2" s="546"/>
      <c r="P2" s="546"/>
      <c r="Q2" s="5"/>
      <c r="R2" s="535" t="s">
        <v>1060</v>
      </c>
      <c r="S2" s="536"/>
      <c r="T2" s="536"/>
      <c r="U2" s="536"/>
      <c r="W2" s="181"/>
      <c r="X2" s="181"/>
      <c r="Y2" s="181"/>
      <c r="Z2" s="181"/>
    </row>
    <row r="3" spans="1:26" s="3" customFormat="1" ht="24.95" customHeight="1" thickBot="1" x14ac:dyDescent="0.45">
      <c r="A3" s="515" t="s">
        <v>1058</v>
      </c>
      <c r="B3" s="516"/>
      <c r="C3" s="516"/>
      <c r="D3" s="175">
        <f>(IF(F24&lt;1015,"geen bier",IF(G4&lt;1000,(F24-G6)*135.666/100000,IF(G6&lt;990,(G4-G6)*135.666/100000,(G4-G6)*135.666/100000)*100)))</f>
        <v>5.2126128525772275</v>
      </c>
      <c r="E3" s="505" t="s">
        <v>1059</v>
      </c>
      <c r="F3" s="505"/>
      <c r="G3" s="175">
        <f>IF(F24&lt;1015,"geen bier",(IF(G7&lt;1,(D3+(8/17.33)),(D3+(G7/17.33)))))</f>
        <v>5.616536684083286</v>
      </c>
      <c r="H3" s="505" t="s">
        <v>1057</v>
      </c>
      <c r="I3" s="505"/>
      <c r="J3" s="524">
        <f>(SUM(A11:A18))*O3</f>
        <v>16.595200000000002</v>
      </c>
      <c r="K3" s="525"/>
      <c r="N3" s="141"/>
      <c r="O3" s="545">
        <v>4</v>
      </c>
      <c r="P3" s="545"/>
      <c r="R3" s="536"/>
      <c r="S3" s="536"/>
      <c r="T3" s="536"/>
      <c r="U3" s="536"/>
      <c r="W3" s="181"/>
      <c r="X3" s="181"/>
      <c r="Y3" s="181"/>
      <c r="Z3" s="181"/>
    </row>
    <row r="4" spans="1:26" s="3" customFormat="1" ht="24.95" customHeight="1" x14ac:dyDescent="0.35">
      <c r="A4" s="517" t="s">
        <v>4</v>
      </c>
      <c r="B4" s="518"/>
      <c r="C4" s="518"/>
      <c r="D4" s="6">
        <f>G24</f>
        <v>11.077379158819838</v>
      </c>
      <c r="E4" s="519" t="s">
        <v>1036</v>
      </c>
      <c r="F4" s="520"/>
      <c r="G4" s="163">
        <f>((SUM(F11:F21)))+1000</f>
        <v>1049.8992163200001</v>
      </c>
      <c r="H4" s="521" t="s">
        <v>1056</v>
      </c>
      <c r="I4" s="521"/>
      <c r="J4" s="551">
        <f xml:space="preserve"> J5 + (K56 * SUM(A11:A18)) - J3 + (G8/60 * K57) + 0.01*A35</f>
        <v>17.231199999999998</v>
      </c>
      <c r="K4" s="552"/>
      <c r="Q4" s="8"/>
      <c r="R4" s="536"/>
      <c r="S4" s="536"/>
      <c r="T4" s="536"/>
      <c r="U4" s="536"/>
      <c r="W4" s="181"/>
      <c r="X4" s="181"/>
      <c r="Y4" s="181"/>
      <c r="Z4" s="181"/>
    </row>
    <row r="5" spans="1:26" s="3" customFormat="1" ht="24.95" customHeight="1" thickBot="1" x14ac:dyDescent="0.4">
      <c r="A5" s="485" t="s">
        <v>5</v>
      </c>
      <c r="B5" s="486"/>
      <c r="C5" s="486"/>
      <c r="D5" s="9" t="str">
        <f>IF(D4&lt;9,"Bleek",IF(D4&lt;12,"Geel",IF(D4&lt;20,"Goud",IF(D4&lt;30,"Amber",IF(D4&lt;45,"Koper",IF(D4&lt;75,"Bruin",IF(D4&lt;120,"Zeer donker doorschijnend",IF(D4&gt;120,"zwart-niet door schijnend"))))))))</f>
        <v>Geel</v>
      </c>
      <c r="E5" s="487" t="s">
        <v>6</v>
      </c>
      <c r="F5" s="487"/>
      <c r="G5" s="384">
        <v>2020</v>
      </c>
      <c r="H5" s="512" t="s">
        <v>1045</v>
      </c>
      <c r="I5" s="512"/>
      <c r="J5" s="513">
        <f>D8*1.08</f>
        <v>21.6</v>
      </c>
      <c r="K5" s="514"/>
      <c r="M5" s="553" t="s">
        <v>1048</v>
      </c>
      <c r="N5" s="554"/>
      <c r="O5" s="8"/>
      <c r="P5" s="8"/>
      <c r="Q5" s="8"/>
      <c r="R5" s="536"/>
      <c r="S5" s="536"/>
      <c r="T5" s="536"/>
      <c r="U5" s="536"/>
      <c r="W5" s="181"/>
      <c r="X5" s="181"/>
      <c r="Y5" s="181"/>
      <c r="Z5" s="181"/>
    </row>
    <row r="6" spans="1:26" s="3" customFormat="1" ht="24.95" customHeight="1" thickBot="1" x14ac:dyDescent="0.4">
      <c r="A6" s="508" t="s">
        <v>7</v>
      </c>
      <c r="B6" s="509"/>
      <c r="C6" s="509"/>
      <c r="D6" s="7">
        <f>F35</f>
        <v>26.763899964715517</v>
      </c>
      <c r="E6" s="487" t="s">
        <v>426</v>
      </c>
      <c r="F6" s="487"/>
      <c r="G6" s="164">
        <f>(G4-1000)*(1-J6)+1000</f>
        <v>1011.4768197536</v>
      </c>
      <c r="H6" s="487" t="s">
        <v>8</v>
      </c>
      <c r="I6" s="487"/>
      <c r="J6" s="510">
        <v>0.77</v>
      </c>
      <c r="K6" s="511"/>
      <c r="M6" s="555"/>
      <c r="N6" s="556"/>
      <c r="O6" s="537" t="s">
        <v>9</v>
      </c>
      <c r="P6" s="538"/>
      <c r="R6" s="536"/>
      <c r="S6" s="536"/>
      <c r="T6" s="536"/>
      <c r="U6" s="536"/>
      <c r="W6" s="181"/>
      <c r="X6" s="181"/>
      <c r="Y6" s="181"/>
      <c r="Z6" s="181"/>
    </row>
    <row r="7" spans="1:26" s="3" customFormat="1" ht="24.95" customHeight="1" x14ac:dyDescent="0.35">
      <c r="A7" s="508" t="s">
        <v>10</v>
      </c>
      <c r="B7" s="509"/>
      <c r="C7" s="509"/>
      <c r="D7" s="7" t="str">
        <f>IF(D6&lt;20,"Weinig bitter",IF(D6&lt;30,"Bitterig",IF(D6&lt;40,"Bitter",IF(D6&gt;40,"Zeer bitter"))))</f>
        <v>Bitterig</v>
      </c>
      <c r="E7" s="487" t="s">
        <v>11</v>
      </c>
      <c r="F7" s="487"/>
      <c r="G7" s="288">
        <v>7</v>
      </c>
      <c r="H7" s="487" t="s">
        <v>12</v>
      </c>
      <c r="I7" s="487"/>
      <c r="J7" s="506">
        <f>IF(A24&lt;0.1,"GEEN BIER",IF(D8&lt;1,"--------",IF(G4&lt;1015,"--------",(F24-1000)/3.72*G4*D8/A24/100000)))</f>
        <v>0.71172196385626285</v>
      </c>
      <c r="K7" s="507"/>
      <c r="M7" s="555"/>
      <c r="N7" s="556"/>
      <c r="O7" s="539"/>
      <c r="P7" s="540"/>
      <c r="R7" s="559" t="s">
        <v>425</v>
      </c>
      <c r="S7" s="559"/>
      <c r="T7" s="559"/>
      <c r="U7" s="559"/>
      <c r="W7" s="181"/>
      <c r="X7" s="181"/>
      <c r="Y7" s="181"/>
      <c r="Z7" s="181"/>
    </row>
    <row r="8" spans="1:26" s="11" customFormat="1" ht="24.95" customHeight="1" x14ac:dyDescent="0.3">
      <c r="A8" s="485" t="s">
        <v>438</v>
      </c>
      <c r="B8" s="486"/>
      <c r="C8" s="486"/>
      <c r="D8" s="290">
        <v>20</v>
      </c>
      <c r="E8" s="487" t="s">
        <v>13</v>
      </c>
      <c r="F8" s="487"/>
      <c r="G8" s="289">
        <v>70</v>
      </c>
      <c r="H8" s="487" t="s">
        <v>14</v>
      </c>
      <c r="I8" s="487"/>
      <c r="J8" s="488">
        <v>0.8</v>
      </c>
      <c r="K8" s="489"/>
      <c r="M8" s="555"/>
      <c r="N8" s="556"/>
      <c r="O8" s="266" t="s">
        <v>1073</v>
      </c>
      <c r="P8" s="377" t="s">
        <v>1047</v>
      </c>
      <c r="R8" s="559"/>
      <c r="S8" s="559"/>
      <c r="T8" s="559"/>
      <c r="U8" s="559"/>
    </row>
    <row r="9" spans="1:26" ht="20.100000000000001" customHeight="1" x14ac:dyDescent="0.3">
      <c r="A9" s="490" t="s">
        <v>15</v>
      </c>
      <c r="B9" s="491" t="s">
        <v>16</v>
      </c>
      <c r="C9" s="492" t="s">
        <v>17</v>
      </c>
      <c r="D9" s="478" t="s">
        <v>18</v>
      </c>
      <c r="E9" s="493" t="s">
        <v>19</v>
      </c>
      <c r="F9" s="478" t="s">
        <v>20</v>
      </c>
      <c r="G9" s="478" t="s">
        <v>21</v>
      </c>
      <c r="H9" s="494" t="s">
        <v>22</v>
      </c>
      <c r="I9" s="494"/>
      <c r="J9" s="494"/>
      <c r="K9" s="495"/>
      <c r="M9" s="555"/>
      <c r="N9" s="556"/>
      <c r="O9" s="541" t="s">
        <v>1054</v>
      </c>
      <c r="P9" s="543">
        <v>0.8</v>
      </c>
      <c r="R9" s="559"/>
      <c r="S9" s="559"/>
      <c r="T9" s="559"/>
      <c r="U9" s="559"/>
    </row>
    <row r="10" spans="1:26" ht="20.100000000000001" customHeight="1" thickBot="1" x14ac:dyDescent="0.35">
      <c r="A10" s="490"/>
      <c r="B10" s="491"/>
      <c r="C10" s="492"/>
      <c r="D10" s="478"/>
      <c r="E10" s="493"/>
      <c r="F10" s="478"/>
      <c r="G10" s="478"/>
      <c r="H10" s="494"/>
      <c r="I10" s="494"/>
      <c r="J10" s="494"/>
      <c r="K10" s="495"/>
      <c r="M10" s="557"/>
      <c r="N10" s="558"/>
      <c r="O10" s="542"/>
      <c r="P10" s="544"/>
      <c r="R10" s="550" t="s">
        <v>436</v>
      </c>
      <c r="S10" s="550"/>
      <c r="T10" s="550"/>
      <c r="U10" s="550"/>
    </row>
    <row r="11" spans="1:26" ht="16.7" customHeight="1" thickBot="1" x14ac:dyDescent="0.35">
      <c r="A11" s="189">
        <f t="shared" ref="A11:A18" si="0">P11</f>
        <v>3.48</v>
      </c>
      <c r="B11" s="291">
        <v>2</v>
      </c>
      <c r="C11" s="15" t="str">
        <f>LOOKUP(B11,mout!A:A,mout!B:B)</f>
        <v>BIO pilsner</v>
      </c>
      <c r="D11" s="167">
        <f>LOOKUP(B11,mout!A:A,mout!D:D)</f>
        <v>81</v>
      </c>
      <c r="E11" s="265" t="str">
        <f>LOOKUP(B11,mout!A:A,mout!E:E)</f>
        <v>4</v>
      </c>
      <c r="F11" s="264">
        <f t="shared" ref="F11:F18" si="1">(D11*A11/$D$8)*$J$8*3.722</f>
        <v>41.966294400000002</v>
      </c>
      <c r="G11" s="21">
        <f t="shared" ref="G11:G18" si="2">(D11*A11/$J$5)*E11/11.8</f>
        <v>4.4237288135593218</v>
      </c>
      <c r="H11" s="567"/>
      <c r="I11" s="567"/>
      <c r="J11" s="567"/>
      <c r="K11" s="568"/>
      <c r="O11" s="376">
        <v>4.3499999999999996</v>
      </c>
      <c r="P11" s="191">
        <f>+$P$9*O11</f>
        <v>3.48</v>
      </c>
      <c r="R11" s="550"/>
      <c r="S11" s="550"/>
      <c r="T11" s="550"/>
      <c r="U11" s="550"/>
    </row>
    <row r="12" spans="1:26" ht="16.7" customHeight="1" thickBot="1" x14ac:dyDescent="0.35">
      <c r="A12" s="189">
        <f t="shared" si="0"/>
        <v>0.26480000000000004</v>
      </c>
      <c r="B12" s="383">
        <v>11</v>
      </c>
      <c r="C12" s="19" t="str">
        <f>LOOKUP(B12,mout!A:A,mout!B:B)</f>
        <v>Munchener</v>
      </c>
      <c r="D12" s="167">
        <f>LOOKUP(B12,mout!A:A,mout!D:D)</f>
        <v>81</v>
      </c>
      <c r="E12" s="20" t="str">
        <f>LOOKUP(B12,mout!A:A,mout!E:E)</f>
        <v>13</v>
      </c>
      <c r="F12" s="16">
        <f t="shared" si="1"/>
        <v>3.1932973440000003</v>
      </c>
      <c r="G12" s="21">
        <f t="shared" si="2"/>
        <v>1.0939830508474577</v>
      </c>
      <c r="H12" s="569" t="s">
        <v>1103</v>
      </c>
      <c r="I12" s="569"/>
      <c r="J12" s="569"/>
      <c r="K12" s="570"/>
      <c r="O12" s="376">
        <v>0.33100000000000002</v>
      </c>
      <c r="P12" s="191">
        <f t="shared" ref="P12:P18" si="3">+$P$9*O12</f>
        <v>0.26480000000000004</v>
      </c>
      <c r="R12" s="550"/>
      <c r="S12" s="550"/>
      <c r="T12" s="550"/>
      <c r="U12" s="550"/>
    </row>
    <row r="13" spans="1:26" ht="16.7" customHeight="1" thickBot="1" x14ac:dyDescent="0.35">
      <c r="A13" s="189">
        <f t="shared" si="0"/>
        <v>8.0800000000000011E-2</v>
      </c>
      <c r="B13" s="383">
        <v>111</v>
      </c>
      <c r="C13" s="19" t="str">
        <f>LOOKUP(B13,mout!A:A,mout!B:B)</f>
        <v>CaraMunich type 2</v>
      </c>
      <c r="D13" s="167">
        <f>LOOKUP(B13,mout!A:A,mout!D:D)</f>
        <v>74</v>
      </c>
      <c r="E13" s="20">
        <f>LOOKUP(B13,mout!A:A,mout!E:E)</f>
        <v>120</v>
      </c>
      <c r="F13" s="16">
        <f t="shared" si="1"/>
        <v>0.89018329600000001</v>
      </c>
      <c r="G13" s="21">
        <f t="shared" si="2"/>
        <v>2.8150659133709985</v>
      </c>
      <c r="H13" s="471"/>
      <c r="I13" s="471"/>
      <c r="J13" s="471"/>
      <c r="K13" s="472"/>
      <c r="O13" s="376">
        <v>0.10100000000000001</v>
      </c>
      <c r="P13" s="191">
        <f t="shared" si="3"/>
        <v>8.0800000000000011E-2</v>
      </c>
      <c r="R13" s="526" t="s">
        <v>1029</v>
      </c>
      <c r="S13" s="527"/>
      <c r="T13" s="527"/>
      <c r="U13" s="528"/>
    </row>
    <row r="14" spans="1:26" ht="16.7" customHeight="1" thickBot="1" x14ac:dyDescent="0.4">
      <c r="A14" s="189">
        <f>P14</f>
        <v>0.32320000000000004</v>
      </c>
      <c r="B14" s="292">
        <v>302</v>
      </c>
      <c r="C14" s="19" t="str">
        <f>LOOKUP(B14,mout!A:A,mout!B:B)</f>
        <v>BIO Tarwemout</v>
      </c>
      <c r="D14" s="167">
        <f>LOOKUP(B14,mout!A:A,mout!D:D)</f>
        <v>80</v>
      </c>
      <c r="E14" s="20" t="str">
        <f>LOOKUP(B14,mout!A:A,mout!E:E)</f>
        <v>4</v>
      </c>
      <c r="F14" s="16">
        <f>(D14*A14/$D$8)*$J$8*3.722</f>
        <v>3.8494412800000011</v>
      </c>
      <c r="G14" s="21">
        <f t="shared" si="2"/>
        <v>0.40577526679221593</v>
      </c>
      <c r="H14" s="471"/>
      <c r="I14" s="471"/>
      <c r="J14" s="471"/>
      <c r="K14" s="472"/>
      <c r="M14" s="220"/>
      <c r="N14" s="237"/>
      <c r="O14" s="376">
        <v>0.40400000000000003</v>
      </c>
      <c r="P14" s="191">
        <f t="shared" si="3"/>
        <v>0.32320000000000004</v>
      </c>
      <c r="R14" s="529"/>
      <c r="S14" s="530"/>
      <c r="T14" s="530"/>
      <c r="U14" s="531"/>
    </row>
    <row r="15" spans="1:26" ht="16.7" customHeight="1" thickBot="1" x14ac:dyDescent="0.4">
      <c r="A15" s="189">
        <f t="shared" si="0"/>
        <v>0</v>
      </c>
      <c r="B15" s="292"/>
      <c r="C15" s="19" t="str">
        <f>LOOKUP(B15,mout!A:A,mout!B:B)</f>
        <v>-</v>
      </c>
      <c r="D15" s="167">
        <f>LOOKUP(B15,mout!A:A,mout!D:D)</f>
        <v>0</v>
      </c>
      <c r="E15" s="20">
        <f>LOOKUP(B15,mout!A:A,mout!E:E)</f>
        <v>0</v>
      </c>
      <c r="F15" s="375">
        <f>(D15*A15/$D$8)*$J$8*3.722</f>
        <v>0</v>
      </c>
      <c r="G15" s="21">
        <f t="shared" si="2"/>
        <v>0</v>
      </c>
      <c r="H15" s="471"/>
      <c r="I15" s="471"/>
      <c r="J15" s="471"/>
      <c r="K15" s="472"/>
      <c r="M15" s="238"/>
      <c r="N15" s="237"/>
      <c r="O15" s="376"/>
      <c r="P15" s="191">
        <f t="shared" si="3"/>
        <v>0</v>
      </c>
      <c r="R15" s="529"/>
      <c r="S15" s="530"/>
      <c r="T15" s="530"/>
      <c r="U15" s="531"/>
    </row>
    <row r="16" spans="1:26" ht="16.7" customHeight="1" thickBot="1" x14ac:dyDescent="0.35">
      <c r="A16" s="189">
        <f t="shared" si="0"/>
        <v>0</v>
      </c>
      <c r="B16" s="293"/>
      <c r="C16" s="19" t="str">
        <f>LOOKUP(B16,mout!A:A,mout!B:B)</f>
        <v>-</v>
      </c>
      <c r="D16" s="167">
        <f>LOOKUP(B16,mout!A:A,mout!D:D)</f>
        <v>0</v>
      </c>
      <c r="E16" s="20">
        <f>LOOKUP(B16,mout!A:A,mout!E:E)</f>
        <v>0</v>
      </c>
      <c r="F16" s="16">
        <f t="shared" si="1"/>
        <v>0</v>
      </c>
      <c r="G16" s="21">
        <f t="shared" si="2"/>
        <v>0</v>
      </c>
      <c r="H16" s="471"/>
      <c r="I16" s="471"/>
      <c r="J16" s="471"/>
      <c r="K16" s="472"/>
      <c r="M16" s="238"/>
      <c r="N16" s="237"/>
      <c r="O16" s="376"/>
      <c r="P16" s="191">
        <f t="shared" si="3"/>
        <v>0</v>
      </c>
      <c r="R16" s="532"/>
      <c r="S16" s="533"/>
      <c r="T16" s="533"/>
      <c r="U16" s="534"/>
    </row>
    <row r="17" spans="1:78" ht="16.7" customHeight="1" thickBot="1" x14ac:dyDescent="0.35">
      <c r="A17" s="189">
        <f t="shared" si="0"/>
        <v>0</v>
      </c>
      <c r="B17" s="293"/>
      <c r="C17" s="19" t="str">
        <f>LOOKUP(B17,mout!A:A,mout!B:B)</f>
        <v>-</v>
      </c>
      <c r="D17" s="167">
        <f>LOOKUP(B17,mout!A:A,mout!D:D)</f>
        <v>0</v>
      </c>
      <c r="E17" s="20">
        <f>LOOKUP(B17,mout!A:A,mout!E:E)</f>
        <v>0</v>
      </c>
      <c r="F17" s="16">
        <f t="shared" si="1"/>
        <v>0</v>
      </c>
      <c r="G17" s="21">
        <f t="shared" si="2"/>
        <v>0</v>
      </c>
      <c r="H17" s="471"/>
      <c r="I17" s="471"/>
      <c r="J17" s="471"/>
      <c r="K17" s="472"/>
      <c r="M17" s="238"/>
      <c r="N17" s="237"/>
      <c r="O17" s="376">
        <v>0</v>
      </c>
      <c r="P17" s="191">
        <f t="shared" si="3"/>
        <v>0</v>
      </c>
      <c r="S17" s="14"/>
    </row>
    <row r="18" spans="1:78" ht="16.7" customHeight="1" x14ac:dyDescent="0.3">
      <c r="A18" s="189">
        <f t="shared" si="0"/>
        <v>0</v>
      </c>
      <c r="B18" s="293"/>
      <c r="C18" s="19" t="str">
        <f>LOOKUP(B18,mout!A:A,mout!B:B)</f>
        <v>-</v>
      </c>
      <c r="D18" s="167">
        <f>LOOKUP(B18,mout!A:A,mout!D:D)</f>
        <v>0</v>
      </c>
      <c r="E18" s="20">
        <f>LOOKUP(B18,mout!A:A,mout!E:E)</f>
        <v>0</v>
      </c>
      <c r="F18" s="16">
        <f t="shared" si="1"/>
        <v>0</v>
      </c>
      <c r="G18" s="21">
        <f t="shared" si="2"/>
        <v>0</v>
      </c>
      <c r="H18" s="471"/>
      <c r="I18" s="471"/>
      <c r="J18" s="471"/>
      <c r="K18" s="472"/>
      <c r="M18" s="238"/>
      <c r="N18" s="237"/>
      <c r="O18" s="376">
        <v>0</v>
      </c>
      <c r="P18" s="191">
        <f t="shared" si="3"/>
        <v>0</v>
      </c>
      <c r="R18" s="522" t="s">
        <v>1055</v>
      </c>
      <c r="S18" s="523"/>
      <c r="T18" s="523"/>
      <c r="U18" s="523"/>
    </row>
    <row r="19" spans="1:78" ht="40.15" customHeight="1" thickBot="1" x14ac:dyDescent="0.35">
      <c r="A19" s="138" t="s">
        <v>15</v>
      </c>
      <c r="B19" s="22" t="s">
        <v>16</v>
      </c>
      <c r="C19" s="12" t="s">
        <v>23</v>
      </c>
      <c r="D19" s="23" t="s">
        <v>24</v>
      </c>
      <c r="E19" s="13" t="s">
        <v>25</v>
      </c>
      <c r="F19" s="24" t="s">
        <v>26</v>
      </c>
      <c r="G19" s="24" t="s">
        <v>27</v>
      </c>
      <c r="H19" s="473" t="s">
        <v>22</v>
      </c>
      <c r="I19" s="473"/>
      <c r="J19" s="473"/>
      <c r="K19" s="474"/>
      <c r="M19" s="238"/>
      <c r="N19" s="237"/>
      <c r="O19" s="176" t="s">
        <v>1053</v>
      </c>
      <c r="P19" s="378">
        <v>0.8</v>
      </c>
      <c r="R19" s="523"/>
      <c r="S19" s="523"/>
      <c r="T19" s="523"/>
      <c r="U19" s="523"/>
    </row>
    <row r="20" spans="1:78" ht="16.7" customHeight="1" thickBot="1" x14ac:dyDescent="0.35">
      <c r="A20" s="187">
        <f>P20</f>
        <v>0</v>
      </c>
      <c r="B20" s="291"/>
      <c r="C20" s="15" t="str">
        <f>LOOKUP(B20,suiker!A:A,suiker!B:B)</f>
        <v xml:space="preserve"> -</v>
      </c>
      <c r="D20" s="166">
        <f>LOOKUP(B20,suiker!A:A,suiker!C:C)</f>
        <v>0</v>
      </c>
      <c r="E20" s="17">
        <f>LOOKUP(B20,suiker!A:A,suiker!D:D)</f>
        <v>0</v>
      </c>
      <c r="F20" s="16">
        <f>(D20*A20/$J$5)*3.722</f>
        <v>0</v>
      </c>
      <c r="G20" s="18">
        <f>(D20*A20/$J$5)*E20/11.8</f>
        <v>0</v>
      </c>
      <c r="H20" s="562"/>
      <c r="I20" s="562"/>
      <c r="J20" s="562"/>
      <c r="K20" s="563"/>
      <c r="M20" s="177"/>
      <c r="N20" s="178"/>
      <c r="O20" s="379"/>
      <c r="P20" s="190">
        <f>$P$19*O20</f>
        <v>0</v>
      </c>
      <c r="R20" s="523"/>
      <c r="S20" s="523"/>
      <c r="T20" s="523"/>
      <c r="U20" s="523"/>
    </row>
    <row r="21" spans="1:78" ht="16.7" customHeight="1" x14ac:dyDescent="0.3">
      <c r="A21" s="187">
        <f>P21</f>
        <v>0</v>
      </c>
      <c r="B21" s="294">
        <v>0</v>
      </c>
      <c r="C21" s="148" t="str">
        <f>LOOKUP(B21,suiker!A:A,suiker!B:B)</f>
        <v xml:space="preserve"> -</v>
      </c>
      <c r="D21" s="168">
        <f>LOOKUP(B21,suiker!A:A,suiker!C:C)</f>
        <v>0</v>
      </c>
      <c r="E21" s="150">
        <f>LOOKUP(B21,suiker!A:A,suiker!D:D)</f>
        <v>0</v>
      </c>
      <c r="F21" s="149">
        <f>(D21*A21/$J$5)*3.722</f>
        <v>0</v>
      </c>
      <c r="G21" s="151">
        <f>(D21*A21/$J$5)*E21/11.8</f>
        <v>0</v>
      </c>
      <c r="H21" s="564"/>
      <c r="I21" s="565"/>
      <c r="J21" s="565"/>
      <c r="K21" s="566"/>
      <c r="M21" s="177"/>
      <c r="N21" s="178"/>
      <c r="O21" s="379">
        <v>0</v>
      </c>
      <c r="P21" s="190">
        <f>$P$19*O21</f>
        <v>0</v>
      </c>
      <c r="R21" s="523"/>
      <c r="S21" s="523"/>
      <c r="T21" s="523"/>
      <c r="U21" s="523"/>
    </row>
    <row r="22" spans="1:78" ht="16.7" customHeight="1" x14ac:dyDescent="0.3">
      <c r="A22" s="188">
        <f>D8*G7/1000</f>
        <v>0.14000000000000001</v>
      </c>
      <c r="B22" s="295">
        <v>8</v>
      </c>
      <c r="C22" s="26" t="str">
        <f>LOOKUP(B22,suiker!A:A,suiker!B:B)</f>
        <v>Kristal-suiker</v>
      </c>
      <c r="D22" s="169">
        <f>LOOKUP(B22,suiker!A:A,suiker!C:C)</f>
        <v>100</v>
      </c>
      <c r="E22" s="27">
        <f>LOOKUP(B22,suiker!A:A,suiker!D:D)</f>
        <v>0.1</v>
      </c>
      <c r="F22" s="16">
        <f>(D22*A22/$J$5)*3.722</f>
        <v>2.4124074074074073</v>
      </c>
      <c r="G22" s="21">
        <f>(D22*A22/$J$5)*E22/11.8</f>
        <v>5.4927809165097293E-3</v>
      </c>
      <c r="H22" s="483" t="s">
        <v>28</v>
      </c>
      <c r="I22" s="483"/>
      <c r="J22" s="483"/>
      <c r="K22" s="484"/>
      <c r="P22" s="142"/>
      <c r="S22" s="142"/>
    </row>
    <row r="23" spans="1:78" ht="16.7" customHeight="1" x14ac:dyDescent="0.3">
      <c r="A23" s="138" t="s">
        <v>15</v>
      </c>
      <c r="B23" s="475" t="s">
        <v>1094</v>
      </c>
      <c r="C23" s="475"/>
      <c r="D23" s="475"/>
      <c r="E23" s="475"/>
      <c r="F23" s="24" t="s">
        <v>29</v>
      </c>
      <c r="G23" s="152" t="s">
        <v>427</v>
      </c>
      <c r="H23" s="476" t="s">
        <v>1095</v>
      </c>
      <c r="I23" s="476"/>
      <c r="J23" s="476"/>
      <c r="K23" s="477"/>
      <c r="P23" s="142"/>
      <c r="R23" s="180"/>
      <c r="S23" s="180"/>
      <c r="T23" s="180"/>
    </row>
    <row r="24" spans="1:78" ht="16.7" customHeight="1" x14ac:dyDescent="0.3">
      <c r="A24" s="146">
        <f>SUM(A11:A18)</f>
        <v>4.1488000000000005</v>
      </c>
      <c r="B24" s="475"/>
      <c r="C24" s="475"/>
      <c r="D24" s="475"/>
      <c r="E24" s="475"/>
      <c r="F24" s="27">
        <f>((SUM(F11:F22)))+1000</f>
        <v>1052.3116237274073</v>
      </c>
      <c r="G24" s="28">
        <f>IF(F24&lt;1000.3,"0",SUM(G11:G22)+($G$8/30))</f>
        <v>11.077379158819838</v>
      </c>
      <c r="H24" s="476"/>
      <c r="I24" s="476"/>
      <c r="J24" s="476"/>
      <c r="K24" s="477"/>
      <c r="P24" s="142"/>
      <c r="R24" s="180"/>
      <c r="S24" s="180"/>
      <c r="T24" s="180"/>
    </row>
    <row r="25" spans="1:78" ht="20.100000000000001" customHeight="1" x14ac:dyDescent="0.3">
      <c r="A25" s="416" t="s">
        <v>30</v>
      </c>
      <c r="B25" s="444" t="s">
        <v>16</v>
      </c>
      <c r="C25" s="469" t="s">
        <v>31</v>
      </c>
      <c r="D25" s="470" t="s">
        <v>32</v>
      </c>
      <c r="E25" s="478" t="s">
        <v>33</v>
      </c>
      <c r="F25" s="479" t="s">
        <v>34</v>
      </c>
      <c r="G25" s="480" t="s">
        <v>435</v>
      </c>
      <c r="H25" s="473" t="s">
        <v>22</v>
      </c>
      <c r="I25" s="473"/>
      <c r="J25" s="473"/>
      <c r="K25" s="474"/>
      <c r="O25" s="410" t="s">
        <v>1052</v>
      </c>
      <c r="P25" s="390">
        <v>0.8</v>
      </c>
      <c r="R25" s="180"/>
      <c r="S25" s="180"/>
      <c r="T25" s="180"/>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20.100000000000001" customHeight="1" thickBot="1" x14ac:dyDescent="0.35">
      <c r="A26" s="416"/>
      <c r="B26" s="444"/>
      <c r="C26" s="469"/>
      <c r="D26" s="470"/>
      <c r="E26" s="478"/>
      <c r="F26" s="479"/>
      <c r="G26" s="480"/>
      <c r="H26" s="481"/>
      <c r="I26" s="481"/>
      <c r="J26" s="481"/>
      <c r="K26" s="482"/>
      <c r="O26" s="411"/>
      <c r="P26" s="390"/>
      <c r="R26" s="180"/>
      <c r="S26" s="180"/>
      <c r="T26" s="180"/>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6.7" customHeight="1" thickBot="1" x14ac:dyDescent="0.4">
      <c r="A27" s="386">
        <f t="shared" ref="A27:A34" si="4">P27</f>
        <v>25.6</v>
      </c>
      <c r="B27" s="385">
        <v>11</v>
      </c>
      <c r="C27" s="147" t="str">
        <f>LOOKUP(B27,hop!A:A,hop!B:B)</f>
        <v>Hallertau hersbrucker (D)</v>
      </c>
      <c r="D27" s="165">
        <f>LOOKUP(B27,hop!A:A,hop!G:G)</f>
        <v>4</v>
      </c>
      <c r="E27" s="298">
        <v>70</v>
      </c>
      <c r="F27" s="30">
        <f>IF(G27=tabellen!$I$1,tabellen!I10,IF(G27=tabellen!$I$2,tabellen!I10*1.1,tabellen!$I$3))</f>
        <v>12.145196153384425</v>
      </c>
      <c r="G27" s="299" t="s">
        <v>35</v>
      </c>
      <c r="H27" s="398"/>
      <c r="I27" s="399"/>
      <c r="J27" s="399"/>
      <c r="K27" s="400"/>
      <c r="M27" s="177"/>
      <c r="N27" s="177"/>
      <c r="O27" s="380">
        <v>32</v>
      </c>
      <c r="P27" s="381">
        <f>$P$25*O27</f>
        <v>25.6</v>
      </c>
      <c r="R27" s="180"/>
      <c r="S27" s="180"/>
      <c r="T27" s="180"/>
    </row>
    <row r="28" spans="1:78" ht="16.7" customHeight="1" thickBot="1" x14ac:dyDescent="0.4">
      <c r="A28" s="386">
        <f t="shared" si="4"/>
        <v>18.52</v>
      </c>
      <c r="B28" s="292">
        <v>8</v>
      </c>
      <c r="C28" s="196" t="str">
        <f>LOOKUP(B28,hop!A:A,hop!B:B)</f>
        <v>East kent goldings (UK)</v>
      </c>
      <c r="D28" s="165">
        <f>LOOKUP(B28,hop!A:A,hop!G:G)</f>
        <v>4</v>
      </c>
      <c r="E28" s="298">
        <v>70</v>
      </c>
      <c r="F28" s="30">
        <f>IF(G28=tabellen!$I$1,tabellen!I20,IF(G28=tabellen!$I$2,tabellen!I20*1.1,tabellen!$I$3))</f>
        <v>8.7862903422140448</v>
      </c>
      <c r="G28" s="300" t="s">
        <v>35</v>
      </c>
      <c r="H28" s="403"/>
      <c r="I28" s="404"/>
      <c r="J28" s="404"/>
      <c r="K28" s="405"/>
      <c r="M28" s="177"/>
      <c r="N28" s="177"/>
      <c r="O28" s="380">
        <v>23.15</v>
      </c>
      <c r="P28" s="381">
        <f t="shared" ref="P28:P34" si="5">$P$25*O28</f>
        <v>18.52</v>
      </c>
      <c r="R28" s="180"/>
      <c r="S28" s="180"/>
      <c r="T28" s="180"/>
    </row>
    <row r="29" spans="1:78" ht="16.7" customHeight="1" thickBot="1" x14ac:dyDescent="0.4">
      <c r="A29" s="386">
        <f t="shared" si="4"/>
        <v>16</v>
      </c>
      <c r="B29" s="292">
        <v>19</v>
      </c>
      <c r="C29" s="196" t="str">
        <f>LOOKUP(B29,hop!A:A,hop!B:B)</f>
        <v>Styrian goldings (SL)</v>
      </c>
      <c r="D29" s="165">
        <f>LOOKUP(B29,hop!A:A,hop!G:G)</f>
        <v>2.8</v>
      </c>
      <c r="E29" s="298">
        <v>70</v>
      </c>
      <c r="F29" s="25">
        <f>IF(G29=tabellen!$I$1,tabellen!I30,IF(G29=tabellen!$I$2,tabellen!I30*1.1,tabellen!$I$3))</f>
        <v>5.3135233171056857</v>
      </c>
      <c r="G29" s="300" t="s">
        <v>35</v>
      </c>
      <c r="H29" s="401"/>
      <c r="I29" s="401"/>
      <c r="J29" s="401"/>
      <c r="K29" s="402"/>
      <c r="O29" s="380">
        <v>20</v>
      </c>
      <c r="P29" s="381">
        <f t="shared" si="5"/>
        <v>16</v>
      </c>
      <c r="R29" s="180"/>
      <c r="S29" s="180"/>
      <c r="T29" s="180"/>
    </row>
    <row r="30" spans="1:78" ht="16.7" customHeight="1" thickBot="1" x14ac:dyDescent="0.4">
      <c r="A30" s="386">
        <f t="shared" si="4"/>
        <v>15.200000000000001</v>
      </c>
      <c r="B30" s="292">
        <v>17</v>
      </c>
      <c r="C30" s="196" t="str">
        <f>LOOKUP(B30,hop!A:A,hop!B:B)</f>
        <v>Saaz (CZ)</v>
      </c>
      <c r="D30" s="165">
        <f>LOOKUP(B30,hop!A:A,hop!G:G)</f>
        <v>3.4</v>
      </c>
      <c r="E30" s="298">
        <v>2</v>
      </c>
      <c r="F30" s="25">
        <f>IF(G30=tabellen!$I$1,tabellen!I40,IF(G30=tabellen!$I$2,tabellen!I40*1.1,tabellen!$I$3))</f>
        <v>0.51889015201136091</v>
      </c>
      <c r="G30" s="300" t="s">
        <v>35</v>
      </c>
      <c r="H30" s="398"/>
      <c r="I30" s="399"/>
      <c r="J30" s="399"/>
      <c r="K30" s="400"/>
      <c r="O30" s="380">
        <v>19</v>
      </c>
      <c r="P30" s="381">
        <f t="shared" si="5"/>
        <v>15.200000000000001</v>
      </c>
      <c r="R30" s="180"/>
      <c r="S30" s="180"/>
      <c r="T30" s="180"/>
    </row>
    <row r="31" spans="1:78" ht="16.7" customHeight="1" thickBot="1" x14ac:dyDescent="0.4">
      <c r="A31" s="386">
        <f t="shared" si="4"/>
        <v>0</v>
      </c>
      <c r="B31" s="292"/>
      <c r="C31" s="196" t="str">
        <f>LOOKUP(B31,hop!A:A,hop!B:B)</f>
        <v>-</v>
      </c>
      <c r="D31" s="165">
        <f>LOOKUP(B31,hop!A:A,hop!G:G)</f>
        <v>0</v>
      </c>
      <c r="E31" s="298"/>
      <c r="F31" s="25">
        <f>IF(G31=tabellen!$I$1,tabellen!I50,IF(G31=tabellen!$I$2,tabellen!I50*1.1,tabellen!$I$3))</f>
        <v>0</v>
      </c>
      <c r="G31" s="300" t="s">
        <v>35</v>
      </c>
      <c r="H31" s="406"/>
      <c r="I31" s="407"/>
      <c r="J31" s="407"/>
      <c r="K31" s="408"/>
      <c r="O31" s="380"/>
      <c r="P31" s="381">
        <f t="shared" si="5"/>
        <v>0</v>
      </c>
      <c r="S31" s="445"/>
    </row>
    <row r="32" spans="1:78" ht="16.7" customHeight="1" thickBot="1" x14ac:dyDescent="0.4">
      <c r="A32" s="386">
        <f t="shared" si="4"/>
        <v>0</v>
      </c>
      <c r="B32" s="292"/>
      <c r="C32" s="196" t="str">
        <f>LOOKUP(B32,hop!A:A,hop!B:B)</f>
        <v>-</v>
      </c>
      <c r="D32" s="165">
        <f>LOOKUP(B32,hop!A:A,hop!G:G)</f>
        <v>0</v>
      </c>
      <c r="E32" s="298">
        <v>0</v>
      </c>
      <c r="F32" s="25">
        <f>IF(G32=tabellen!$I$1,tabellen!I60,IF(G32=tabellen!$I$2,tabellen!I60*1.1,tabellen!$I$3))</f>
        <v>0</v>
      </c>
      <c r="G32" s="300" t="s">
        <v>61</v>
      </c>
      <c r="H32" s="401"/>
      <c r="I32" s="401"/>
      <c r="J32" s="401"/>
      <c r="K32" s="402"/>
      <c r="O32" s="380"/>
      <c r="P32" s="381">
        <f t="shared" si="5"/>
        <v>0</v>
      </c>
      <c r="S32" s="445"/>
    </row>
    <row r="33" spans="1:21" ht="16.7" customHeight="1" thickBot="1" x14ac:dyDescent="0.35">
      <c r="A33" s="386">
        <f t="shared" si="4"/>
        <v>0</v>
      </c>
      <c r="B33" s="296"/>
      <c r="C33" s="196" t="str">
        <f>LOOKUP(B33,hop!A:A,hop!B:B)</f>
        <v>-</v>
      </c>
      <c r="D33" s="165">
        <f>LOOKUP(B33,hop!A:A,hop!G:G)</f>
        <v>0</v>
      </c>
      <c r="E33" s="298">
        <v>0</v>
      </c>
      <c r="F33" s="25">
        <f>IF(G33=tabellen!$I$1,tabellen!I70,IF(G33=tabellen!$I$2,tabellen!I70*1.1,tabellen!$I$3))</f>
        <v>0</v>
      </c>
      <c r="G33" s="300" t="s">
        <v>61</v>
      </c>
      <c r="H33" s="401"/>
      <c r="I33" s="401"/>
      <c r="J33" s="401"/>
      <c r="K33" s="402"/>
      <c r="O33" s="380">
        <v>0</v>
      </c>
      <c r="P33" s="381">
        <f t="shared" si="5"/>
        <v>0</v>
      </c>
      <c r="S33" s="14"/>
    </row>
    <row r="34" spans="1:21" ht="16.7" customHeight="1" x14ac:dyDescent="0.3">
      <c r="A34" s="387">
        <f t="shared" si="4"/>
        <v>0</v>
      </c>
      <c r="B34" s="297"/>
      <c r="C34" s="197" t="str">
        <f>LOOKUP(B34,hop!A:A,hop!B:B)</f>
        <v>-</v>
      </c>
      <c r="D34" s="165">
        <f>LOOKUP(B34,hop!A:A,hop!G:G)</f>
        <v>0</v>
      </c>
      <c r="E34" s="298">
        <v>0</v>
      </c>
      <c r="F34" s="25">
        <f>IF(G34=tabellen!$I$1,tabellen!I80,IF(G34=tabellen!$I$2,tabellen!I80*1.1,tabellen!$I$3))</f>
        <v>0</v>
      </c>
      <c r="G34" s="301" t="s">
        <v>61</v>
      </c>
      <c r="H34" s="467"/>
      <c r="I34" s="467"/>
      <c r="J34" s="467"/>
      <c r="K34" s="468"/>
      <c r="O34" s="380">
        <v>0</v>
      </c>
      <c r="P34" s="381">
        <f t="shared" si="5"/>
        <v>0</v>
      </c>
      <c r="S34" s="14"/>
    </row>
    <row r="35" spans="1:21" ht="16.7" customHeight="1" thickBot="1" x14ac:dyDescent="0.35">
      <c r="A35" s="139">
        <f>SUM(A27:A34)</f>
        <v>75.320000000000007</v>
      </c>
      <c r="B35" s="443" t="s">
        <v>36</v>
      </c>
      <c r="C35" s="443"/>
      <c r="D35" s="463" t="s">
        <v>37</v>
      </c>
      <c r="E35" s="463"/>
      <c r="F35" s="31">
        <f>SUM(F27:F34)</f>
        <v>26.763899964715517</v>
      </c>
      <c r="G35" s="395"/>
      <c r="H35" s="396"/>
      <c r="I35" s="396"/>
      <c r="J35" s="396"/>
      <c r="K35" s="397"/>
      <c r="O35" s="32"/>
      <c r="P35" s="33"/>
      <c r="S35" s="14"/>
      <c r="U35" s="14"/>
    </row>
    <row r="36" spans="1:21" ht="40.15" customHeight="1" thickBot="1" x14ac:dyDescent="0.35">
      <c r="A36" s="153" t="s">
        <v>30</v>
      </c>
      <c r="B36" s="154" t="s">
        <v>16</v>
      </c>
      <c r="C36" s="155" t="s">
        <v>38</v>
      </c>
      <c r="D36" s="448" t="s">
        <v>39</v>
      </c>
      <c r="E36" s="449"/>
      <c r="F36" s="450" t="s">
        <v>40</v>
      </c>
      <c r="G36" s="451"/>
      <c r="H36" s="451"/>
      <c r="I36" s="451"/>
      <c r="J36" s="451"/>
      <c r="K36" s="452"/>
      <c r="P36" s="34"/>
      <c r="S36" s="34"/>
      <c r="T36" s="14"/>
      <c r="U36" s="14"/>
    </row>
    <row r="37" spans="1:21" ht="16.5" customHeight="1" x14ac:dyDescent="0.3">
      <c r="A37" s="302">
        <v>11</v>
      </c>
      <c r="B37" s="303">
        <v>312</v>
      </c>
      <c r="C37" s="196" t="str">
        <f>LOOKUP(B37,gist!A:A,gist!B:B)</f>
        <v>3711 French Saison</v>
      </c>
      <c r="D37" s="453" t="s">
        <v>1100</v>
      </c>
      <c r="E37" s="454"/>
      <c r="K37" s="143"/>
      <c r="U37" s="14"/>
    </row>
    <row r="38" spans="1:21" ht="16.5" customHeight="1" x14ac:dyDescent="0.3">
      <c r="A38" s="302"/>
      <c r="B38" s="304"/>
      <c r="C38" s="196" t="str">
        <f>LOOKUP(B38,gist!A:A,gist!B:B)</f>
        <v>-</v>
      </c>
      <c r="D38" s="455"/>
      <c r="E38" s="456"/>
      <c r="K38" s="143"/>
      <c r="U38" s="14"/>
    </row>
    <row r="39" spans="1:21" ht="16.5" customHeight="1" x14ac:dyDescent="0.3">
      <c r="A39" s="302"/>
      <c r="B39" s="304"/>
      <c r="C39" s="196" t="str">
        <f>LOOKUP(B39,gist!A:A,gist!B:B)</f>
        <v>-</v>
      </c>
      <c r="D39" s="412"/>
      <c r="E39" s="413"/>
      <c r="K39" s="143"/>
      <c r="U39" s="14"/>
    </row>
    <row r="40" spans="1:21" ht="40.15" customHeight="1" x14ac:dyDescent="0.3">
      <c r="A40" s="156" t="s">
        <v>30</v>
      </c>
      <c r="B40" s="157" t="s">
        <v>16</v>
      </c>
      <c r="C40" s="158" t="s">
        <v>41</v>
      </c>
      <c r="D40" s="414" t="s">
        <v>39</v>
      </c>
      <c r="E40" s="415"/>
      <c r="K40" s="143"/>
      <c r="U40" s="14"/>
    </row>
    <row r="41" spans="1:21" ht="16.7" customHeight="1" x14ac:dyDescent="0.35">
      <c r="A41" s="305"/>
      <c r="B41" s="306"/>
      <c r="C41" s="235" t="str">
        <f>LOOKUP(B41,kruiden!A:A,kruiden!B:B)</f>
        <v>-</v>
      </c>
      <c r="D41" s="457"/>
      <c r="E41" s="458"/>
      <c r="K41" s="143"/>
      <c r="M41" s="144"/>
      <c r="U41" s="14"/>
    </row>
    <row r="42" spans="1:21" ht="16.7" customHeight="1" x14ac:dyDescent="0.3">
      <c r="A42" s="302"/>
      <c r="B42" s="304"/>
      <c r="C42" s="240" t="str">
        <f>LOOKUP(B42,kruiden!A:A,kruiden!B:B)</f>
        <v>-</v>
      </c>
      <c r="D42" s="459"/>
      <c r="E42" s="460"/>
      <c r="K42" s="143"/>
      <c r="L42" s="144"/>
      <c r="M42" s="144"/>
      <c r="U42" s="14"/>
    </row>
    <row r="43" spans="1:21" ht="16.7" customHeight="1" thickBot="1" x14ac:dyDescent="0.35">
      <c r="A43" s="307">
        <v>0</v>
      </c>
      <c r="B43" s="308"/>
      <c r="C43" s="248" t="str">
        <f>LOOKUP(B43,kruiden!A:A,kruiden!B:B)</f>
        <v>-</v>
      </c>
      <c r="D43" s="461" t="s">
        <v>42</v>
      </c>
      <c r="E43" s="462"/>
      <c r="K43" s="143"/>
      <c r="L43" s="144"/>
      <c r="M43" s="144"/>
      <c r="U43" s="14"/>
    </row>
    <row r="44" spans="1:21" ht="15" customHeight="1" x14ac:dyDescent="0.3">
      <c r="A44" s="417" t="s">
        <v>43</v>
      </c>
      <c r="B44" s="418"/>
      <c r="C44" s="418"/>
      <c r="D44" s="409" t="s">
        <v>1092</v>
      </c>
      <c r="E44" s="409"/>
      <c r="K44" s="143"/>
      <c r="L44" s="144"/>
      <c r="M44" s="144"/>
      <c r="U44" s="14"/>
    </row>
    <row r="45" spans="1:21" ht="15" customHeight="1" x14ac:dyDescent="0.3">
      <c r="A45" s="417" t="s">
        <v>1051</v>
      </c>
      <c r="B45" s="418"/>
      <c r="C45" s="419"/>
      <c r="D45" s="382">
        <v>60</v>
      </c>
      <c r="E45" s="382">
        <v>0</v>
      </c>
      <c r="K45" s="143"/>
      <c r="L45" s="144"/>
      <c r="U45" s="14"/>
    </row>
    <row r="46" spans="1:21" ht="15" customHeight="1" x14ac:dyDescent="0.3">
      <c r="A46" s="417" t="s">
        <v>44</v>
      </c>
      <c r="B46" s="418"/>
      <c r="C46" s="419"/>
      <c r="D46" s="464"/>
      <c r="E46" s="464"/>
      <c r="K46" s="143"/>
      <c r="M46" s="144"/>
      <c r="U46" s="14"/>
    </row>
    <row r="47" spans="1:21" ht="15" customHeight="1" x14ac:dyDescent="0.3">
      <c r="A47" s="417" t="s">
        <v>45</v>
      </c>
      <c r="B47" s="418"/>
      <c r="C47" s="419"/>
      <c r="D47" s="465" t="s">
        <v>1046</v>
      </c>
      <c r="E47" s="466"/>
      <c r="K47" s="143"/>
      <c r="L47" s="144"/>
      <c r="M47" s="144"/>
      <c r="U47" s="14"/>
    </row>
    <row r="48" spans="1:21" ht="15" customHeight="1" x14ac:dyDescent="0.3">
      <c r="A48" s="417" t="s">
        <v>428</v>
      </c>
      <c r="B48" s="418"/>
      <c r="C48" s="419"/>
      <c r="D48" s="309"/>
      <c r="E48" s="310" t="s">
        <v>1102</v>
      </c>
      <c r="K48" s="143"/>
      <c r="L48" s="144"/>
      <c r="M48" s="144"/>
    </row>
    <row r="49" spans="1:21" ht="15" customHeight="1" x14ac:dyDescent="0.3">
      <c r="A49" s="417" t="s">
        <v>429</v>
      </c>
      <c r="B49" s="418"/>
      <c r="C49" s="419"/>
      <c r="D49" s="309"/>
      <c r="E49" s="310" t="s">
        <v>1101</v>
      </c>
      <c r="K49" s="143"/>
      <c r="L49" s="144"/>
      <c r="M49" s="144"/>
      <c r="U49" s="14"/>
    </row>
    <row r="50" spans="1:21" ht="15" customHeight="1" x14ac:dyDescent="0.3">
      <c r="A50" s="417" t="s">
        <v>46</v>
      </c>
      <c r="B50" s="418"/>
      <c r="C50" s="419"/>
      <c r="D50" s="446">
        <v>15</v>
      </c>
      <c r="E50" s="447"/>
      <c r="K50" s="143"/>
      <c r="L50" s="144"/>
      <c r="M50" s="144"/>
      <c r="U50" s="14"/>
    </row>
    <row r="51" spans="1:21" ht="15" customHeight="1" thickBot="1" x14ac:dyDescent="0.4">
      <c r="A51" s="417" t="s">
        <v>47</v>
      </c>
      <c r="B51" s="418"/>
      <c r="C51" s="419"/>
      <c r="D51" s="442"/>
      <c r="E51" s="442"/>
      <c r="K51" s="143"/>
      <c r="L51" s="144"/>
      <c r="M51" s="144"/>
      <c r="S51" s="134"/>
    </row>
    <row r="52" spans="1:21" ht="16.7" customHeight="1" x14ac:dyDescent="0.3">
      <c r="A52" s="426" t="s">
        <v>48</v>
      </c>
      <c r="B52" s="427"/>
      <c r="C52" s="428"/>
      <c r="D52" s="373">
        <v>38</v>
      </c>
      <c r="E52" s="374">
        <v>50</v>
      </c>
      <c r="F52" s="374">
        <v>63</v>
      </c>
      <c r="G52" s="374">
        <v>72</v>
      </c>
      <c r="H52" s="374">
        <v>78</v>
      </c>
      <c r="I52" s="159" t="s">
        <v>49</v>
      </c>
      <c r="J52" s="170">
        <v>100</v>
      </c>
      <c r="K52" s="160" t="s">
        <v>50</v>
      </c>
      <c r="L52" s="144"/>
    </row>
    <row r="53" spans="1:21" ht="16.7" customHeight="1" x14ac:dyDescent="0.35">
      <c r="A53" s="426" t="s">
        <v>51</v>
      </c>
      <c r="B53" s="427"/>
      <c r="C53" s="428"/>
      <c r="D53" s="311"/>
      <c r="E53" s="312">
        <v>10</v>
      </c>
      <c r="F53" s="312">
        <v>45</v>
      </c>
      <c r="G53" s="312">
        <v>35</v>
      </c>
      <c r="H53" s="312">
        <v>1</v>
      </c>
      <c r="I53" s="173">
        <f>SUM(D45,E45)</f>
        <v>60</v>
      </c>
      <c r="J53" s="171">
        <f>G8</f>
        <v>70</v>
      </c>
      <c r="K53" s="172">
        <f>tabellen!B18</f>
        <v>40</v>
      </c>
    </row>
    <row r="54" spans="1:21" ht="16.7" customHeight="1" x14ac:dyDescent="0.3">
      <c r="A54" s="426" t="s">
        <v>52</v>
      </c>
      <c r="B54" s="427"/>
      <c r="C54" s="428"/>
      <c r="D54" s="313"/>
      <c r="E54" s="314" t="s">
        <v>42</v>
      </c>
      <c r="F54" s="314" t="s">
        <v>42</v>
      </c>
      <c r="G54" s="314" t="s">
        <v>42</v>
      </c>
      <c r="H54" s="314" t="s">
        <v>42</v>
      </c>
      <c r="I54" s="314" t="s">
        <v>42</v>
      </c>
      <c r="J54" s="314" t="s">
        <v>42</v>
      </c>
      <c r="K54" s="315" t="s">
        <v>42</v>
      </c>
      <c r="L54" s="2" t="s">
        <v>42</v>
      </c>
    </row>
    <row r="55" spans="1:21" ht="16.7" customHeight="1" thickBot="1" x14ac:dyDescent="0.35">
      <c r="A55" s="429" t="s">
        <v>421</v>
      </c>
      <c r="B55" s="430"/>
      <c r="C55" s="431"/>
      <c r="D55" s="324" t="s">
        <v>42</v>
      </c>
      <c r="E55" s="325" t="s">
        <v>42</v>
      </c>
      <c r="F55" s="326" t="s">
        <v>42</v>
      </c>
      <c r="G55" s="326" t="s">
        <v>42</v>
      </c>
      <c r="H55" s="326" t="s">
        <v>42</v>
      </c>
      <c r="I55" s="325" t="s">
        <v>42</v>
      </c>
      <c r="J55" s="325"/>
      <c r="K55" s="327"/>
      <c r="U55" s="14"/>
    </row>
    <row r="56" spans="1:21" ht="16.7" customHeight="1" x14ac:dyDescent="0.3">
      <c r="A56" s="316"/>
      <c r="B56" s="436" t="s">
        <v>1037</v>
      </c>
      <c r="C56" s="437"/>
      <c r="D56" s="192">
        <f>A56*0.3</f>
        <v>0</v>
      </c>
      <c r="E56" s="393" t="s">
        <v>432</v>
      </c>
      <c r="F56" s="438" t="s">
        <v>53</v>
      </c>
      <c r="G56" s="439"/>
      <c r="H56" s="319">
        <v>1</v>
      </c>
      <c r="I56" s="440" t="s">
        <v>949</v>
      </c>
      <c r="J56" s="441"/>
      <c r="K56" s="322">
        <v>1.5</v>
      </c>
      <c r="U56" s="14"/>
    </row>
    <row r="57" spans="1:21" ht="16.7" customHeight="1" x14ac:dyDescent="0.3">
      <c r="A57" s="317">
        <v>0</v>
      </c>
      <c r="B57" s="424" t="s">
        <v>940</v>
      </c>
      <c r="C57" s="425"/>
      <c r="D57" s="193">
        <f>A57*0.75</f>
        <v>0</v>
      </c>
      <c r="E57" s="394"/>
      <c r="F57" s="391" t="s">
        <v>433</v>
      </c>
      <c r="G57" s="392"/>
      <c r="H57" s="320">
        <v>0.2</v>
      </c>
      <c r="I57" s="422" t="s">
        <v>950</v>
      </c>
      <c r="J57" s="423"/>
      <c r="K57" s="323">
        <v>4.5</v>
      </c>
      <c r="U57" s="14"/>
    </row>
    <row r="58" spans="1:21" ht="15.75" customHeight="1" thickBot="1" x14ac:dyDescent="0.35">
      <c r="A58" s="318"/>
      <c r="B58" s="420" t="s">
        <v>941</v>
      </c>
      <c r="C58" s="421"/>
      <c r="D58" s="194">
        <f>A58*10</f>
        <v>0</v>
      </c>
      <c r="E58" s="195">
        <f>SUM(D56,D57,D58)</f>
        <v>0</v>
      </c>
      <c r="F58" s="432" t="s">
        <v>434</v>
      </c>
      <c r="G58" s="433"/>
      <c r="H58" s="321">
        <v>2</v>
      </c>
      <c r="I58" s="434" t="s">
        <v>424</v>
      </c>
      <c r="J58" s="435"/>
      <c r="K58" s="267">
        <f>tabellen!E19/60</f>
        <v>5.583333333333333</v>
      </c>
      <c r="U58" s="14"/>
    </row>
    <row r="59" spans="1:21" ht="16.5" customHeight="1" x14ac:dyDescent="0.3">
      <c r="G59" s="145"/>
      <c r="U59" s="14"/>
    </row>
    <row r="60" spans="1:21" ht="16.5" customHeight="1" x14ac:dyDescent="0.3">
      <c r="B60" s="242"/>
      <c r="C60" s="241"/>
    </row>
    <row r="61" spans="1:21" ht="17.45" customHeight="1" x14ac:dyDescent="0.3"/>
    <row r="62" spans="1:21" ht="16.5" customHeight="1" x14ac:dyDescent="0.3"/>
    <row r="63" spans="1:21" ht="16.5" customHeight="1" x14ac:dyDescent="0.3"/>
    <row r="64" spans="1:21" ht="16.5" customHeight="1" x14ac:dyDescent="0.3"/>
    <row r="65" ht="17.45" customHeight="1" x14ac:dyDescent="0.3"/>
    <row r="66" ht="15" customHeight="1" x14ac:dyDescent="0.3"/>
    <row r="67" ht="17.45" customHeight="1" x14ac:dyDescent="0.3"/>
    <row r="68" ht="17.45" customHeight="1" x14ac:dyDescent="0.3"/>
    <row r="69" ht="16.5" customHeight="1" x14ac:dyDescent="0.3"/>
    <row r="70" ht="16.5" customHeight="1" x14ac:dyDescent="0.3"/>
    <row r="71" ht="16.5" customHeight="1" x14ac:dyDescent="0.3"/>
    <row r="72" ht="16.5" customHeight="1" x14ac:dyDescent="0.3"/>
    <row r="84" spans="18:18" x14ac:dyDescent="0.3">
      <c r="R84" s="14"/>
    </row>
    <row r="85" spans="18:18" x14ac:dyDescent="0.3">
      <c r="R85" s="14"/>
    </row>
  </sheetData>
  <sheetProtection password="CC6F" sheet="1" objects="1" scenarios="1"/>
  <mergeCells count="121">
    <mergeCell ref="R18:U21"/>
    <mergeCell ref="J3:K3"/>
    <mergeCell ref="R13:U16"/>
    <mergeCell ref="R2:U6"/>
    <mergeCell ref="O6:P7"/>
    <mergeCell ref="O9:O10"/>
    <mergeCell ref="P9:P10"/>
    <mergeCell ref="O3:P3"/>
    <mergeCell ref="O1:P2"/>
    <mergeCell ref="R1:U1"/>
    <mergeCell ref="R10:U12"/>
    <mergeCell ref="J4:K4"/>
    <mergeCell ref="M5:N10"/>
    <mergeCell ref="R7:U9"/>
    <mergeCell ref="J1:K1"/>
    <mergeCell ref="H20:K20"/>
    <mergeCell ref="H21:K21"/>
    <mergeCell ref="H11:K11"/>
    <mergeCell ref="H12:K12"/>
    <mergeCell ref="H13:K13"/>
    <mergeCell ref="H14:K14"/>
    <mergeCell ref="A2:B2"/>
    <mergeCell ref="E2:K2"/>
    <mergeCell ref="A1:C1"/>
    <mergeCell ref="G1:H1"/>
    <mergeCell ref="E3:F3"/>
    <mergeCell ref="H3:I3"/>
    <mergeCell ref="J7:K7"/>
    <mergeCell ref="A6:C6"/>
    <mergeCell ref="E6:F6"/>
    <mergeCell ref="H6:I6"/>
    <mergeCell ref="J6:K6"/>
    <mergeCell ref="H5:I5"/>
    <mergeCell ref="J5:K5"/>
    <mergeCell ref="A3:C3"/>
    <mergeCell ref="A7:C7"/>
    <mergeCell ref="E7:F7"/>
    <mergeCell ref="A5:C5"/>
    <mergeCell ref="E5:F5"/>
    <mergeCell ref="H7:I7"/>
    <mergeCell ref="A4:C4"/>
    <mergeCell ref="E4:F4"/>
    <mergeCell ref="H4:I4"/>
    <mergeCell ref="A8:C8"/>
    <mergeCell ref="E8:F8"/>
    <mergeCell ref="H8:I8"/>
    <mergeCell ref="J8:K8"/>
    <mergeCell ref="A9:A10"/>
    <mergeCell ref="B9:B10"/>
    <mergeCell ref="C9:C10"/>
    <mergeCell ref="D9:D10"/>
    <mergeCell ref="E9:E10"/>
    <mergeCell ref="F9:F10"/>
    <mergeCell ref="G9:G10"/>
    <mergeCell ref="H9:K10"/>
    <mergeCell ref="C25:C26"/>
    <mergeCell ref="D25:D26"/>
    <mergeCell ref="H15:K15"/>
    <mergeCell ref="H16:K16"/>
    <mergeCell ref="H17:K17"/>
    <mergeCell ref="H18:K18"/>
    <mergeCell ref="H19:K19"/>
    <mergeCell ref="B23:E24"/>
    <mergeCell ref="H23:K24"/>
    <mergeCell ref="E25:E26"/>
    <mergeCell ref="F25:F26"/>
    <mergeCell ref="G25:G26"/>
    <mergeCell ref="H25:K26"/>
    <mergeCell ref="H22:K22"/>
    <mergeCell ref="S31:S32"/>
    <mergeCell ref="H32:K32"/>
    <mergeCell ref="H33:K33"/>
    <mergeCell ref="D50:E50"/>
    <mergeCell ref="D36:E36"/>
    <mergeCell ref="F36:K36"/>
    <mergeCell ref="D37:E37"/>
    <mergeCell ref="D38:E38"/>
    <mergeCell ref="D41:E41"/>
    <mergeCell ref="D42:E42"/>
    <mergeCell ref="D43:E43"/>
    <mergeCell ref="D35:E35"/>
    <mergeCell ref="D46:E46"/>
    <mergeCell ref="D47:E47"/>
    <mergeCell ref="H34:K34"/>
    <mergeCell ref="A25:A26"/>
    <mergeCell ref="A49:C49"/>
    <mergeCell ref="A46:C46"/>
    <mergeCell ref="A47:C47"/>
    <mergeCell ref="B58:C58"/>
    <mergeCell ref="I57:J57"/>
    <mergeCell ref="B57:C57"/>
    <mergeCell ref="A52:C52"/>
    <mergeCell ref="A55:C55"/>
    <mergeCell ref="A54:C54"/>
    <mergeCell ref="A53:C53"/>
    <mergeCell ref="F58:G58"/>
    <mergeCell ref="I58:J58"/>
    <mergeCell ref="B56:C56"/>
    <mergeCell ref="F56:G56"/>
    <mergeCell ref="I56:J56"/>
    <mergeCell ref="A50:C50"/>
    <mergeCell ref="A51:C51"/>
    <mergeCell ref="D51:E51"/>
    <mergeCell ref="A44:C44"/>
    <mergeCell ref="A45:C45"/>
    <mergeCell ref="B35:C35"/>
    <mergeCell ref="A48:C48"/>
    <mergeCell ref="B25:B26"/>
    <mergeCell ref="P25:P26"/>
    <mergeCell ref="F57:G57"/>
    <mergeCell ref="E56:E57"/>
    <mergeCell ref="G35:K35"/>
    <mergeCell ref="H30:K30"/>
    <mergeCell ref="H27:K27"/>
    <mergeCell ref="H29:K29"/>
    <mergeCell ref="H28:K28"/>
    <mergeCell ref="H31:K31"/>
    <mergeCell ref="D44:E44"/>
    <mergeCell ref="O25:O26"/>
    <mergeCell ref="D39:E39"/>
    <mergeCell ref="D40:E40"/>
  </mergeCells>
  <phoneticPr fontId="0" type="noConversion"/>
  <printOptions horizontalCentered="1" verticalCentered="1"/>
  <pageMargins left="0.47222222222222221" right="0.55138888888888893" top="0.59097222222222223" bottom="0.59097222222222223" header="0.31527777777777777" footer="0.15763888888888888"/>
  <pageSetup paperSize="9" scale="70" firstPageNumber="0" orientation="portrait" r:id="rId1"/>
  <headerFooter alignWithMargins="0">
    <oddHeader>&amp;L&amp;"Comic Sans MS,Standaard"&amp;8versie nov 2016&amp;C&amp;"Comic Sans MS,Vet"&amp;11Brouwschema en Logboek Bierbrouwen&amp;R&amp;8whp</oddHeader>
    <oddFooter>&amp;LNaar waarheid ingevuld:&amp;R&amp;D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H424"/>
  <sheetViews>
    <sheetView workbookViewId="0">
      <selection activeCell="B3" sqref="B3:H3"/>
    </sheetView>
  </sheetViews>
  <sheetFormatPr defaultRowHeight="12.75" x14ac:dyDescent="0.2"/>
  <cols>
    <col min="2" max="2" width="9.140625" style="202" customWidth="1"/>
    <col min="5" max="5" width="2.5703125" customWidth="1"/>
    <col min="6" max="8" width="9.140625" style="202" customWidth="1"/>
  </cols>
  <sheetData>
    <row r="1" spans="2:8" ht="13.5" thickBot="1" x14ac:dyDescent="0.25"/>
    <row r="2" spans="2:8" ht="37.5" customHeight="1" x14ac:dyDescent="0.2">
      <c r="B2" s="614" t="s">
        <v>883</v>
      </c>
      <c r="C2" s="615"/>
      <c r="D2" s="615"/>
      <c r="E2" s="615"/>
      <c r="F2" s="615"/>
      <c r="G2" s="615"/>
      <c r="H2" s="616"/>
    </row>
    <row r="3" spans="2:8" ht="66" customHeight="1" thickBot="1" x14ac:dyDescent="0.25">
      <c r="B3" s="611" t="s">
        <v>1049</v>
      </c>
      <c r="C3" s="612"/>
      <c r="D3" s="612"/>
      <c r="E3" s="612"/>
      <c r="F3" s="612"/>
      <c r="G3" s="612"/>
      <c r="H3" s="613"/>
    </row>
    <row r="4" spans="2:8" s="202" customFormat="1" ht="15" x14ac:dyDescent="0.3">
      <c r="B4" s="205" t="s">
        <v>93</v>
      </c>
      <c r="C4" s="203" t="s">
        <v>884</v>
      </c>
      <c r="D4" s="203" t="s">
        <v>885</v>
      </c>
      <c r="E4" s="617"/>
      <c r="F4" s="203" t="s">
        <v>93</v>
      </c>
      <c r="G4" s="203" t="s">
        <v>884</v>
      </c>
      <c r="H4" s="204" t="s">
        <v>885</v>
      </c>
    </row>
    <row r="5" spans="2:8" ht="15" x14ac:dyDescent="0.3">
      <c r="B5" s="208">
        <v>1000</v>
      </c>
      <c r="C5" s="210">
        <v>0</v>
      </c>
      <c r="D5" s="213">
        <v>0</v>
      </c>
      <c r="E5" s="618"/>
      <c r="F5" s="206">
        <v>1060</v>
      </c>
      <c r="G5" s="215">
        <v>14.8</v>
      </c>
      <c r="H5" s="217">
        <v>15.3</v>
      </c>
    </row>
    <row r="6" spans="2:8" ht="15" x14ac:dyDescent="0.3">
      <c r="B6" s="208">
        <v>1002</v>
      </c>
      <c r="C6" s="210">
        <v>0.5</v>
      </c>
      <c r="D6" s="213">
        <v>0.5</v>
      </c>
      <c r="E6" s="618"/>
      <c r="F6" s="206">
        <v>1062</v>
      </c>
      <c r="G6" s="215">
        <v>15.3</v>
      </c>
      <c r="H6" s="217">
        <v>15.7</v>
      </c>
    </row>
    <row r="7" spans="2:8" ht="15" x14ac:dyDescent="0.3">
      <c r="B7" s="208">
        <v>1004</v>
      </c>
      <c r="C7" s="210">
        <v>1</v>
      </c>
      <c r="D7" s="213">
        <v>1</v>
      </c>
      <c r="E7" s="618"/>
      <c r="F7" s="206">
        <v>1064</v>
      </c>
      <c r="G7" s="215">
        <v>15.8</v>
      </c>
      <c r="H7" s="217">
        <v>16.2</v>
      </c>
    </row>
    <row r="8" spans="2:8" ht="15" x14ac:dyDescent="0.3">
      <c r="B8" s="208">
        <v>1006</v>
      </c>
      <c r="C8" s="210">
        <v>1.5</v>
      </c>
      <c r="D8" s="213">
        <v>1.5</v>
      </c>
      <c r="E8" s="618"/>
      <c r="F8" s="206">
        <v>1066</v>
      </c>
      <c r="G8" s="215">
        <v>16.2</v>
      </c>
      <c r="H8" s="217">
        <v>16.7</v>
      </c>
    </row>
    <row r="9" spans="2:8" ht="15" x14ac:dyDescent="0.3">
      <c r="B9" s="208">
        <v>1008</v>
      </c>
      <c r="C9" s="210">
        <v>2</v>
      </c>
      <c r="D9" s="213">
        <v>2</v>
      </c>
      <c r="E9" s="618"/>
      <c r="F9" s="206">
        <v>1068</v>
      </c>
      <c r="G9" s="215">
        <v>16.7</v>
      </c>
      <c r="H9" s="217">
        <v>17.2</v>
      </c>
    </row>
    <row r="10" spans="2:8" ht="15" x14ac:dyDescent="0.3">
      <c r="B10" s="208">
        <v>1010</v>
      </c>
      <c r="C10" s="210">
        <v>2.5</v>
      </c>
      <c r="D10" s="213">
        <v>2.5</v>
      </c>
      <c r="E10" s="618"/>
      <c r="F10" s="206">
        <v>1070</v>
      </c>
      <c r="G10" s="215">
        <v>17.2</v>
      </c>
      <c r="H10" s="217">
        <v>17.7</v>
      </c>
    </row>
    <row r="11" spans="2:8" ht="15" x14ac:dyDescent="0.3">
      <c r="B11" s="208">
        <v>1012</v>
      </c>
      <c r="C11" s="210">
        <v>3</v>
      </c>
      <c r="D11" s="213">
        <v>3.1</v>
      </c>
      <c r="E11" s="618"/>
      <c r="F11" s="206">
        <v>1072</v>
      </c>
      <c r="G11" s="215">
        <v>17.7</v>
      </c>
      <c r="H11" s="217">
        <v>18.2</v>
      </c>
    </row>
    <row r="12" spans="2:8" ht="15" x14ac:dyDescent="0.3">
      <c r="B12" s="208">
        <v>1014</v>
      </c>
      <c r="C12" s="210">
        <v>3.5</v>
      </c>
      <c r="D12" s="213">
        <v>3.6</v>
      </c>
      <c r="E12" s="618"/>
      <c r="F12" s="206">
        <v>1074</v>
      </c>
      <c r="G12" s="215">
        <v>18.100000000000001</v>
      </c>
      <c r="H12" s="217">
        <v>18.7</v>
      </c>
    </row>
    <row r="13" spans="2:8" ht="15" x14ac:dyDescent="0.3">
      <c r="B13" s="208">
        <v>1016</v>
      </c>
      <c r="C13" s="210">
        <v>4</v>
      </c>
      <c r="D13" s="213">
        <v>4.0999999999999996</v>
      </c>
      <c r="E13" s="618"/>
      <c r="F13" s="206">
        <v>1076</v>
      </c>
      <c r="G13" s="215">
        <v>18.600000000000001</v>
      </c>
      <c r="H13" s="217">
        <v>19.100000000000001</v>
      </c>
    </row>
    <row r="14" spans="2:8" ht="15" x14ac:dyDescent="0.3">
      <c r="B14" s="208">
        <v>1018</v>
      </c>
      <c r="C14" s="210">
        <v>4.5</v>
      </c>
      <c r="D14" s="213">
        <v>4.5999999999999996</v>
      </c>
      <c r="E14" s="618"/>
      <c r="F14" s="206">
        <v>1078</v>
      </c>
      <c r="G14" s="215">
        <v>19</v>
      </c>
      <c r="H14" s="217">
        <v>19.600000000000001</v>
      </c>
    </row>
    <row r="15" spans="2:8" ht="15" x14ac:dyDescent="0.3">
      <c r="B15" s="208">
        <v>1020</v>
      </c>
      <c r="C15" s="210">
        <v>5</v>
      </c>
      <c r="D15" s="213">
        <v>5.0999999999999996</v>
      </c>
      <c r="E15" s="618"/>
      <c r="F15" s="206">
        <v>1080</v>
      </c>
      <c r="G15" s="215">
        <v>19.5</v>
      </c>
      <c r="H15" s="217">
        <v>20.100000000000001</v>
      </c>
    </row>
    <row r="16" spans="2:8" ht="15" x14ac:dyDescent="0.3">
      <c r="B16" s="208">
        <v>1022</v>
      </c>
      <c r="C16" s="210">
        <v>5.5</v>
      </c>
      <c r="D16" s="213">
        <v>5.6</v>
      </c>
      <c r="E16" s="618"/>
      <c r="F16" s="206">
        <v>1082</v>
      </c>
      <c r="G16" s="219">
        <v>20</v>
      </c>
      <c r="H16" s="217">
        <v>20.6</v>
      </c>
    </row>
    <row r="17" spans="2:8" ht="15" x14ac:dyDescent="0.3">
      <c r="B17" s="208">
        <v>1024</v>
      </c>
      <c r="C17" s="210">
        <v>6</v>
      </c>
      <c r="D17" s="213">
        <v>6.1</v>
      </c>
      <c r="E17" s="618"/>
      <c r="F17" s="206">
        <v>1084</v>
      </c>
      <c r="G17" s="215">
        <v>20.399999999999999</v>
      </c>
      <c r="H17" s="217">
        <v>21</v>
      </c>
    </row>
    <row r="18" spans="2:8" ht="15" x14ac:dyDescent="0.3">
      <c r="B18" s="208">
        <v>1026</v>
      </c>
      <c r="C18" s="210">
        <v>6.5</v>
      </c>
      <c r="D18" s="213">
        <v>6.7</v>
      </c>
      <c r="E18" s="618"/>
      <c r="F18" s="206">
        <v>1086</v>
      </c>
      <c r="G18" s="215">
        <v>20.9</v>
      </c>
      <c r="H18" s="217">
        <v>21.5</v>
      </c>
    </row>
    <row r="19" spans="2:8" ht="15" x14ac:dyDescent="0.3">
      <c r="B19" s="208">
        <v>1028</v>
      </c>
      <c r="C19" s="210">
        <v>7</v>
      </c>
      <c r="D19" s="213">
        <v>7.2</v>
      </c>
      <c r="E19" s="618"/>
      <c r="F19" s="206">
        <v>1088</v>
      </c>
      <c r="G19" s="215">
        <v>21.3</v>
      </c>
      <c r="H19" s="217">
        <v>22</v>
      </c>
    </row>
    <row r="20" spans="2:8" ht="15" x14ac:dyDescent="0.3">
      <c r="B20" s="208">
        <v>1030</v>
      </c>
      <c r="C20" s="210">
        <v>7.5</v>
      </c>
      <c r="D20" s="213">
        <v>7.7</v>
      </c>
      <c r="E20" s="618"/>
      <c r="F20" s="206">
        <v>1090</v>
      </c>
      <c r="G20" s="215">
        <v>21.8</v>
      </c>
      <c r="H20" s="217">
        <v>22.4</v>
      </c>
    </row>
    <row r="21" spans="2:8" ht="15" x14ac:dyDescent="0.3">
      <c r="B21" s="208">
        <v>1032</v>
      </c>
      <c r="C21" s="210">
        <v>8</v>
      </c>
      <c r="D21" s="213">
        <v>8.1999999999999993</v>
      </c>
      <c r="E21" s="618"/>
      <c r="F21" s="206">
        <v>1092</v>
      </c>
      <c r="G21" s="215">
        <v>22.2</v>
      </c>
      <c r="H21" s="217">
        <v>22.9</v>
      </c>
    </row>
    <row r="22" spans="2:8" ht="15" x14ac:dyDescent="0.3">
      <c r="B22" s="208">
        <v>1034</v>
      </c>
      <c r="C22" s="210">
        <v>8.5</v>
      </c>
      <c r="D22" s="213">
        <v>8.6999999999999993</v>
      </c>
      <c r="E22" s="618"/>
      <c r="F22" s="206">
        <v>1094</v>
      </c>
      <c r="G22" s="215">
        <v>22.7</v>
      </c>
      <c r="H22" s="217">
        <v>23.4</v>
      </c>
    </row>
    <row r="23" spans="2:8" ht="15" x14ac:dyDescent="0.3">
      <c r="B23" s="208">
        <v>1036</v>
      </c>
      <c r="C23" s="210">
        <v>8.9</v>
      </c>
      <c r="D23" s="213">
        <v>9.1999999999999993</v>
      </c>
      <c r="E23" s="618"/>
      <c r="F23" s="206">
        <v>1096</v>
      </c>
      <c r="G23" s="215">
        <v>23.1</v>
      </c>
      <c r="H23" s="217">
        <v>23.8</v>
      </c>
    </row>
    <row r="24" spans="2:8" ht="15" x14ac:dyDescent="0.3">
      <c r="B24" s="208">
        <v>1038</v>
      </c>
      <c r="C24" s="210">
        <v>9.4</v>
      </c>
      <c r="D24" s="213">
        <v>9.6999999999999993</v>
      </c>
      <c r="E24" s="618"/>
      <c r="F24" s="206">
        <v>1098</v>
      </c>
      <c r="G24" s="215">
        <v>23.6</v>
      </c>
      <c r="H24" s="217">
        <v>24.3</v>
      </c>
    </row>
    <row r="25" spans="2:8" ht="15" x14ac:dyDescent="0.3">
      <c r="B25" s="208">
        <v>1040</v>
      </c>
      <c r="C25" s="210">
        <v>9.9</v>
      </c>
      <c r="D25" s="213">
        <v>10.199999999999999</v>
      </c>
      <c r="E25" s="618"/>
      <c r="F25" s="206">
        <v>1100</v>
      </c>
      <c r="G25" s="215">
        <v>24</v>
      </c>
      <c r="H25" s="217">
        <v>24.7</v>
      </c>
    </row>
    <row r="26" spans="2:8" ht="15" x14ac:dyDescent="0.3">
      <c r="B26" s="208">
        <v>1042</v>
      </c>
      <c r="C26" s="210">
        <v>10.4</v>
      </c>
      <c r="D26" s="213">
        <v>10.7</v>
      </c>
      <c r="E26" s="618"/>
      <c r="F26" s="206">
        <v>1102</v>
      </c>
      <c r="G26" s="215">
        <v>24.4</v>
      </c>
      <c r="H26" s="217">
        <v>25.2</v>
      </c>
    </row>
    <row r="27" spans="2:8" ht="15" x14ac:dyDescent="0.3">
      <c r="B27" s="208">
        <v>1044</v>
      </c>
      <c r="C27" s="210">
        <v>10.9</v>
      </c>
      <c r="D27" s="213">
        <v>11.2</v>
      </c>
      <c r="E27" s="618"/>
      <c r="F27" s="206">
        <v>1104</v>
      </c>
      <c r="G27" s="215">
        <v>24.8</v>
      </c>
      <c r="H27" s="217">
        <v>25.6</v>
      </c>
    </row>
    <row r="28" spans="2:8" ht="15" x14ac:dyDescent="0.3">
      <c r="B28" s="208">
        <v>1046</v>
      </c>
      <c r="C28" s="210">
        <v>11.4</v>
      </c>
      <c r="D28" s="213">
        <v>11.8</v>
      </c>
      <c r="E28" s="618"/>
      <c r="F28" s="206">
        <v>1106</v>
      </c>
      <c r="G28" s="215">
        <v>25.3</v>
      </c>
      <c r="H28" s="217">
        <v>26</v>
      </c>
    </row>
    <row r="29" spans="2:8" ht="15" x14ac:dyDescent="0.3">
      <c r="B29" s="208">
        <v>1048</v>
      </c>
      <c r="C29" s="210">
        <v>11.9</v>
      </c>
      <c r="D29" s="213">
        <v>12.3</v>
      </c>
      <c r="E29" s="618"/>
      <c r="F29" s="206">
        <v>1108</v>
      </c>
      <c r="G29" s="215">
        <v>25.7</v>
      </c>
      <c r="H29" s="217">
        <v>26.5</v>
      </c>
    </row>
    <row r="30" spans="2:8" ht="15" x14ac:dyDescent="0.3">
      <c r="B30" s="208">
        <v>1050</v>
      </c>
      <c r="C30" s="211">
        <v>12.4</v>
      </c>
      <c r="D30" s="213">
        <v>12.8</v>
      </c>
      <c r="E30" s="618"/>
      <c r="F30" s="206">
        <v>1110</v>
      </c>
      <c r="G30" s="215">
        <v>26.1</v>
      </c>
      <c r="H30" s="217">
        <v>26.9</v>
      </c>
    </row>
    <row r="31" spans="2:8" ht="15" x14ac:dyDescent="0.3">
      <c r="B31" s="208">
        <v>1052</v>
      </c>
      <c r="C31" s="211">
        <v>12.9</v>
      </c>
      <c r="D31" s="213">
        <v>13.3</v>
      </c>
      <c r="E31" s="618"/>
      <c r="F31" s="206">
        <v>1112</v>
      </c>
      <c r="G31" s="215">
        <v>26.5</v>
      </c>
      <c r="H31" s="217">
        <v>27.3</v>
      </c>
    </row>
    <row r="32" spans="2:8" ht="15" x14ac:dyDescent="0.3">
      <c r="B32" s="208">
        <v>1054</v>
      </c>
      <c r="C32" s="211">
        <v>13.4</v>
      </c>
      <c r="D32" s="213">
        <v>13.8</v>
      </c>
      <c r="E32" s="618"/>
      <c r="F32" s="206">
        <v>1114</v>
      </c>
      <c r="G32" s="215">
        <v>26.9</v>
      </c>
      <c r="H32" s="217">
        <v>27.8</v>
      </c>
    </row>
    <row r="33" spans="2:8" ht="15" x14ac:dyDescent="0.3">
      <c r="B33" s="208">
        <v>1056</v>
      </c>
      <c r="C33" s="211">
        <v>13.8</v>
      </c>
      <c r="D33" s="213">
        <v>14.3</v>
      </c>
      <c r="E33" s="618"/>
      <c r="F33" s="206">
        <v>1116</v>
      </c>
      <c r="G33" s="215">
        <v>27.4</v>
      </c>
      <c r="H33" s="217">
        <v>28.2</v>
      </c>
    </row>
    <row r="34" spans="2:8" ht="15.75" thickBot="1" x14ac:dyDescent="0.35">
      <c r="B34" s="209">
        <v>1058</v>
      </c>
      <c r="C34" s="212">
        <v>14.3</v>
      </c>
      <c r="D34" s="214">
        <v>14.8</v>
      </c>
      <c r="E34" s="619"/>
      <c r="F34" s="207">
        <v>1118</v>
      </c>
      <c r="G34" s="216">
        <v>27.8</v>
      </c>
      <c r="H34" s="218">
        <v>28.6</v>
      </c>
    </row>
    <row r="35" spans="2:8" ht="15" x14ac:dyDescent="0.3">
      <c r="B35" s="11"/>
      <c r="C35" s="11"/>
      <c r="D35" s="11"/>
    </row>
    <row r="36" spans="2:8" ht="15" x14ac:dyDescent="0.3">
      <c r="B36" s="11"/>
      <c r="C36" s="11"/>
      <c r="D36" s="11"/>
    </row>
    <row r="37" spans="2:8" ht="15" x14ac:dyDescent="0.3">
      <c r="B37" s="11"/>
      <c r="C37" s="11"/>
      <c r="D37" s="11"/>
    </row>
    <row r="38" spans="2:8" ht="15" x14ac:dyDescent="0.3">
      <c r="B38" s="11"/>
      <c r="C38" s="11"/>
      <c r="D38" s="11"/>
    </row>
    <row r="39" spans="2:8" ht="15" x14ac:dyDescent="0.3">
      <c r="B39" s="11"/>
      <c r="C39" s="11"/>
      <c r="D39" s="11"/>
    </row>
    <row r="40" spans="2:8" ht="15" x14ac:dyDescent="0.3">
      <c r="B40" s="11"/>
      <c r="C40" s="11"/>
      <c r="D40" s="11"/>
    </row>
    <row r="41" spans="2:8" ht="15" x14ac:dyDescent="0.3">
      <c r="B41" s="11"/>
      <c r="C41" s="11"/>
      <c r="D41" s="11"/>
    </row>
    <row r="42" spans="2:8" ht="15" x14ac:dyDescent="0.3">
      <c r="B42" s="11"/>
      <c r="C42" s="11"/>
      <c r="D42" s="11"/>
    </row>
    <row r="43" spans="2:8" ht="15" x14ac:dyDescent="0.3">
      <c r="B43" s="11"/>
      <c r="C43" s="11"/>
      <c r="D43" s="11"/>
    </row>
    <row r="44" spans="2:8" ht="15" x14ac:dyDescent="0.3">
      <c r="B44" s="11"/>
      <c r="C44" s="11"/>
      <c r="D44" s="11"/>
    </row>
    <row r="45" spans="2:8" ht="15" x14ac:dyDescent="0.3">
      <c r="B45" s="11"/>
      <c r="C45" s="11"/>
      <c r="D45" s="11"/>
    </row>
    <row r="46" spans="2:8" ht="15" x14ac:dyDescent="0.3">
      <c r="B46" s="11"/>
      <c r="C46" s="10"/>
      <c r="D46" s="11"/>
    </row>
    <row r="47" spans="2:8" ht="15" x14ac:dyDescent="0.3">
      <c r="B47" s="11"/>
      <c r="C47" s="11"/>
      <c r="D47" s="11"/>
    </row>
    <row r="48" spans="2:8" ht="15" x14ac:dyDescent="0.3">
      <c r="B48" s="11"/>
      <c r="C48" s="11"/>
      <c r="D48" s="11"/>
    </row>
    <row r="49" spans="2:4" ht="15" x14ac:dyDescent="0.3">
      <c r="B49" s="11"/>
      <c r="C49" s="11"/>
      <c r="D49" s="11"/>
    </row>
    <row r="50" spans="2:4" ht="15" x14ac:dyDescent="0.3">
      <c r="B50" s="11"/>
      <c r="C50" s="11"/>
      <c r="D50" s="11"/>
    </row>
    <row r="51" spans="2:4" ht="15" x14ac:dyDescent="0.3">
      <c r="B51" s="11"/>
      <c r="C51" s="11"/>
      <c r="D51" s="11"/>
    </row>
    <row r="52" spans="2:4" ht="15" x14ac:dyDescent="0.3">
      <c r="B52" s="11"/>
      <c r="C52" s="11"/>
      <c r="D52" s="11"/>
    </row>
    <row r="53" spans="2:4" ht="15" x14ac:dyDescent="0.3">
      <c r="B53" s="11"/>
      <c r="C53" s="11"/>
      <c r="D53" s="11"/>
    </row>
    <row r="54" spans="2:4" ht="15" x14ac:dyDescent="0.3">
      <c r="B54" s="11"/>
      <c r="C54" s="11"/>
      <c r="D54" s="11"/>
    </row>
    <row r="55" spans="2:4" ht="15" x14ac:dyDescent="0.3">
      <c r="B55" s="11"/>
      <c r="C55" s="11"/>
      <c r="D55" s="11"/>
    </row>
    <row r="56" spans="2:4" ht="15" x14ac:dyDescent="0.3">
      <c r="B56" s="11"/>
      <c r="C56" s="11"/>
      <c r="D56" s="11"/>
    </row>
    <row r="57" spans="2:4" ht="15" x14ac:dyDescent="0.3">
      <c r="B57" s="11"/>
      <c r="C57" s="11"/>
      <c r="D57" s="11"/>
    </row>
    <row r="58" spans="2:4" ht="15" x14ac:dyDescent="0.3">
      <c r="B58" s="11"/>
      <c r="C58" s="11"/>
      <c r="D58" s="11"/>
    </row>
    <row r="59" spans="2:4" ht="15" x14ac:dyDescent="0.3">
      <c r="B59" s="11"/>
      <c r="C59" s="11"/>
      <c r="D59" s="11"/>
    </row>
    <row r="60" spans="2:4" ht="15" x14ac:dyDescent="0.3">
      <c r="B60" s="11"/>
      <c r="C60" s="11"/>
      <c r="D60" s="11"/>
    </row>
    <row r="61" spans="2:4" ht="15" x14ac:dyDescent="0.3">
      <c r="B61" s="11"/>
      <c r="C61" s="11"/>
      <c r="D61" s="11"/>
    </row>
    <row r="62" spans="2:4" ht="15" x14ac:dyDescent="0.3">
      <c r="B62" s="11"/>
      <c r="C62" s="11"/>
      <c r="D62" s="11"/>
    </row>
    <row r="63" spans="2:4" ht="15" x14ac:dyDescent="0.3">
      <c r="B63" s="11"/>
      <c r="C63" s="11"/>
      <c r="D63" s="11"/>
    </row>
    <row r="64" spans="2:4" ht="15" x14ac:dyDescent="0.3">
      <c r="B64" s="11"/>
      <c r="C64" s="11"/>
      <c r="D64" s="11"/>
    </row>
    <row r="65" spans="2:4" x14ac:dyDescent="0.2">
      <c r="B65" s="10"/>
      <c r="C65" s="1"/>
      <c r="D65" s="1"/>
    </row>
    <row r="66" spans="2:4" x14ac:dyDescent="0.2">
      <c r="B66" s="10"/>
      <c r="C66" s="1"/>
      <c r="D66" s="1"/>
    </row>
    <row r="67" spans="2:4" x14ac:dyDescent="0.2">
      <c r="B67" s="10"/>
      <c r="C67" s="1"/>
      <c r="D67" s="1"/>
    </row>
    <row r="68" spans="2:4" x14ac:dyDescent="0.2">
      <c r="B68" s="10"/>
      <c r="C68" s="1"/>
      <c r="D68" s="1"/>
    </row>
    <row r="69" spans="2:4" x14ac:dyDescent="0.2">
      <c r="B69" s="10"/>
      <c r="C69" s="1"/>
      <c r="D69" s="1"/>
    </row>
    <row r="70" spans="2:4" x14ac:dyDescent="0.2">
      <c r="B70" s="10"/>
      <c r="C70" s="1"/>
      <c r="D70" s="1"/>
    </row>
    <row r="71" spans="2:4" x14ac:dyDescent="0.2">
      <c r="B71" s="10"/>
      <c r="C71" s="1"/>
      <c r="D71" s="1"/>
    </row>
    <row r="72" spans="2:4" x14ac:dyDescent="0.2">
      <c r="B72" s="10"/>
      <c r="C72" s="1"/>
      <c r="D72" s="1"/>
    </row>
    <row r="73" spans="2:4" x14ac:dyDescent="0.2">
      <c r="B73" s="10"/>
      <c r="C73" s="1"/>
      <c r="D73" s="1"/>
    </row>
    <row r="74" spans="2:4" x14ac:dyDescent="0.2">
      <c r="B74" s="10"/>
      <c r="C74" s="1"/>
      <c r="D74" s="1"/>
    </row>
    <row r="75" spans="2:4" x14ac:dyDescent="0.2">
      <c r="B75" s="10"/>
      <c r="C75" s="1"/>
      <c r="D75" s="1"/>
    </row>
    <row r="76" spans="2:4" x14ac:dyDescent="0.2">
      <c r="B76" s="10"/>
      <c r="C76" s="1"/>
      <c r="D76" s="1"/>
    </row>
    <row r="77" spans="2:4" x14ac:dyDescent="0.2">
      <c r="B77" s="10"/>
      <c r="C77" s="1"/>
      <c r="D77" s="1"/>
    </row>
    <row r="78" spans="2:4" x14ac:dyDescent="0.2">
      <c r="B78" s="10"/>
      <c r="C78" s="1"/>
      <c r="D78" s="1"/>
    </row>
    <row r="79" spans="2:4" x14ac:dyDescent="0.2">
      <c r="B79" s="10"/>
      <c r="C79" s="1"/>
      <c r="D79" s="1"/>
    </row>
    <row r="80" spans="2:4" x14ac:dyDescent="0.2">
      <c r="B80" s="10"/>
      <c r="C80" s="1"/>
      <c r="D80" s="1"/>
    </row>
    <row r="81" spans="2:4" x14ac:dyDescent="0.2">
      <c r="B81" s="10"/>
      <c r="C81" s="1"/>
      <c r="D81" s="1"/>
    </row>
    <row r="82" spans="2:4" x14ac:dyDescent="0.2">
      <c r="B82" s="10"/>
      <c r="C82" s="1"/>
      <c r="D82" s="1"/>
    </row>
    <row r="83" spans="2:4" x14ac:dyDescent="0.2">
      <c r="B83" s="10"/>
      <c r="C83" s="1"/>
      <c r="D83" s="1"/>
    </row>
    <row r="84" spans="2:4" x14ac:dyDescent="0.2">
      <c r="B84" s="10"/>
      <c r="C84" s="1"/>
      <c r="D84" s="1"/>
    </row>
    <row r="85" spans="2:4" x14ac:dyDescent="0.2">
      <c r="B85" s="10"/>
      <c r="C85" s="1"/>
      <c r="D85" s="1"/>
    </row>
    <row r="86" spans="2:4" x14ac:dyDescent="0.2">
      <c r="B86" s="10"/>
      <c r="C86" s="1"/>
      <c r="D86" s="1"/>
    </row>
    <row r="87" spans="2:4" x14ac:dyDescent="0.2">
      <c r="B87" s="10"/>
      <c r="C87" s="1"/>
      <c r="D87" s="1"/>
    </row>
    <row r="88" spans="2:4" x14ac:dyDescent="0.2">
      <c r="B88" s="10"/>
      <c r="C88" s="1"/>
      <c r="D88" s="1"/>
    </row>
    <row r="89" spans="2:4" x14ac:dyDescent="0.2">
      <c r="B89" s="10"/>
      <c r="C89" s="1"/>
      <c r="D89" s="1"/>
    </row>
    <row r="90" spans="2:4" x14ac:dyDescent="0.2">
      <c r="B90" s="10"/>
      <c r="C90" s="1"/>
      <c r="D90" s="1"/>
    </row>
    <row r="91" spans="2:4" x14ac:dyDescent="0.2">
      <c r="B91" s="10"/>
      <c r="C91" s="1"/>
      <c r="D91" s="1"/>
    </row>
    <row r="92" spans="2:4" x14ac:dyDescent="0.2">
      <c r="B92" s="10"/>
      <c r="C92" s="1"/>
      <c r="D92" s="1"/>
    </row>
    <row r="93" spans="2:4" x14ac:dyDescent="0.2">
      <c r="B93" s="10"/>
      <c r="C93" s="1"/>
      <c r="D93" s="1"/>
    </row>
    <row r="94" spans="2:4" x14ac:dyDescent="0.2">
      <c r="B94" s="10"/>
      <c r="C94" s="1"/>
      <c r="D94" s="1"/>
    </row>
    <row r="95" spans="2:4" x14ac:dyDescent="0.2">
      <c r="B95" s="10"/>
      <c r="C95" s="1"/>
      <c r="D95" s="1"/>
    </row>
    <row r="96" spans="2:4" x14ac:dyDescent="0.2">
      <c r="B96" s="10"/>
      <c r="C96" s="1"/>
      <c r="D96" s="1"/>
    </row>
    <row r="97" spans="2:4" x14ac:dyDescent="0.2">
      <c r="B97" s="10"/>
      <c r="C97" s="1"/>
      <c r="D97" s="1"/>
    </row>
    <row r="98" spans="2:4" x14ac:dyDescent="0.2">
      <c r="B98" s="10"/>
      <c r="C98" s="1"/>
      <c r="D98" s="1"/>
    </row>
    <row r="99" spans="2:4" x14ac:dyDescent="0.2">
      <c r="B99" s="10"/>
      <c r="C99" s="1"/>
      <c r="D99" s="1"/>
    </row>
    <row r="100" spans="2:4" x14ac:dyDescent="0.2">
      <c r="B100" s="10"/>
      <c r="C100" s="1"/>
      <c r="D100" s="1"/>
    </row>
    <row r="101" spans="2:4" x14ac:dyDescent="0.2">
      <c r="B101" s="10"/>
      <c r="C101" s="1"/>
      <c r="D101" s="1"/>
    </row>
    <row r="102" spans="2:4" x14ac:dyDescent="0.2">
      <c r="B102" s="10"/>
      <c r="C102" s="1"/>
      <c r="D102" s="1"/>
    </row>
    <row r="103" spans="2:4" x14ac:dyDescent="0.2">
      <c r="B103" s="10"/>
      <c r="C103" s="1"/>
      <c r="D103" s="1"/>
    </row>
    <row r="104" spans="2:4" x14ac:dyDescent="0.2">
      <c r="B104" s="10"/>
      <c r="C104" s="1"/>
      <c r="D104" s="1"/>
    </row>
    <row r="105" spans="2:4" x14ac:dyDescent="0.2">
      <c r="B105" s="10"/>
      <c r="C105" s="1"/>
      <c r="D105" s="1"/>
    </row>
    <row r="106" spans="2:4" x14ac:dyDescent="0.2">
      <c r="B106" s="10"/>
      <c r="C106" s="1"/>
      <c r="D106" s="1"/>
    </row>
    <row r="107" spans="2:4" x14ac:dyDescent="0.2">
      <c r="B107" s="10"/>
      <c r="C107" s="1"/>
      <c r="D107" s="1"/>
    </row>
    <row r="108" spans="2:4" x14ac:dyDescent="0.2">
      <c r="B108" s="10"/>
      <c r="C108" s="1"/>
      <c r="D108" s="1"/>
    </row>
    <row r="109" spans="2:4" x14ac:dyDescent="0.2">
      <c r="B109" s="10"/>
      <c r="C109" s="1"/>
      <c r="D109" s="1"/>
    </row>
    <row r="110" spans="2:4" x14ac:dyDescent="0.2">
      <c r="B110" s="10"/>
      <c r="C110" s="1"/>
      <c r="D110" s="1"/>
    </row>
    <row r="111" spans="2:4" x14ac:dyDescent="0.2">
      <c r="B111" s="10"/>
      <c r="C111" s="1"/>
      <c r="D111" s="1"/>
    </row>
    <row r="112" spans="2:4" x14ac:dyDescent="0.2">
      <c r="B112" s="10"/>
      <c r="C112" s="1"/>
      <c r="D112" s="1"/>
    </row>
    <row r="113" spans="2:4" x14ac:dyDescent="0.2">
      <c r="B113" s="10"/>
      <c r="C113" s="1"/>
      <c r="D113" s="1"/>
    </row>
    <row r="114" spans="2:4" x14ac:dyDescent="0.2">
      <c r="B114" s="10"/>
      <c r="C114" s="1"/>
      <c r="D114" s="1"/>
    </row>
    <row r="115" spans="2:4" x14ac:dyDescent="0.2">
      <c r="B115" s="10"/>
      <c r="C115" s="1"/>
      <c r="D115" s="1"/>
    </row>
    <row r="116" spans="2:4" x14ac:dyDescent="0.2">
      <c r="B116" s="10"/>
      <c r="C116" s="1"/>
      <c r="D116" s="1"/>
    </row>
    <row r="117" spans="2:4" x14ac:dyDescent="0.2">
      <c r="B117" s="10"/>
      <c r="C117" s="1"/>
      <c r="D117" s="1"/>
    </row>
    <row r="118" spans="2:4" x14ac:dyDescent="0.2">
      <c r="B118" s="10"/>
      <c r="C118" s="1"/>
      <c r="D118" s="1"/>
    </row>
    <row r="119" spans="2:4" x14ac:dyDescent="0.2">
      <c r="B119" s="10"/>
      <c r="C119" s="1"/>
      <c r="D119" s="1"/>
    </row>
    <row r="120" spans="2:4" x14ac:dyDescent="0.2">
      <c r="B120" s="10"/>
      <c r="C120" s="1"/>
      <c r="D120" s="1"/>
    </row>
    <row r="121" spans="2:4" x14ac:dyDescent="0.2">
      <c r="B121" s="10"/>
      <c r="C121" s="1"/>
      <c r="D121" s="1"/>
    </row>
    <row r="122" spans="2:4" x14ac:dyDescent="0.2">
      <c r="B122" s="10"/>
      <c r="C122" s="1"/>
      <c r="D122" s="1"/>
    </row>
    <row r="123" spans="2:4" x14ac:dyDescent="0.2">
      <c r="B123" s="10"/>
      <c r="C123" s="1"/>
      <c r="D123" s="1"/>
    </row>
    <row r="124" spans="2:4" x14ac:dyDescent="0.2">
      <c r="B124" s="10"/>
      <c r="C124" s="1"/>
      <c r="D124" s="1"/>
    </row>
    <row r="125" spans="2:4" x14ac:dyDescent="0.2">
      <c r="B125" s="10"/>
      <c r="C125" s="1"/>
      <c r="D125" s="1"/>
    </row>
    <row r="126" spans="2:4" x14ac:dyDescent="0.2">
      <c r="B126" s="10"/>
      <c r="C126" s="1"/>
      <c r="D126" s="1"/>
    </row>
    <row r="127" spans="2:4" x14ac:dyDescent="0.2">
      <c r="B127" s="10"/>
      <c r="C127" s="1"/>
      <c r="D127" s="1"/>
    </row>
    <row r="128" spans="2:4" x14ac:dyDescent="0.2">
      <c r="B128" s="10"/>
      <c r="C128" s="1"/>
      <c r="D128" s="1"/>
    </row>
    <row r="129" spans="2:4" x14ac:dyDescent="0.2">
      <c r="B129" s="10"/>
      <c r="C129" s="1"/>
      <c r="D129" s="1"/>
    </row>
    <row r="130" spans="2:4" x14ac:dyDescent="0.2">
      <c r="B130" s="10"/>
      <c r="C130" s="1"/>
      <c r="D130" s="1"/>
    </row>
    <row r="131" spans="2:4" x14ac:dyDescent="0.2">
      <c r="B131" s="10"/>
      <c r="C131" s="1"/>
      <c r="D131" s="1"/>
    </row>
    <row r="132" spans="2:4" x14ac:dyDescent="0.2">
      <c r="B132" s="10"/>
      <c r="C132" s="1"/>
      <c r="D132" s="1"/>
    </row>
    <row r="133" spans="2:4" x14ac:dyDescent="0.2">
      <c r="B133" s="10"/>
      <c r="C133" s="1"/>
      <c r="D133" s="1"/>
    </row>
    <row r="134" spans="2:4" x14ac:dyDescent="0.2">
      <c r="B134" s="10"/>
      <c r="C134" s="1"/>
      <c r="D134" s="1"/>
    </row>
    <row r="135" spans="2:4" x14ac:dyDescent="0.2">
      <c r="B135" s="10"/>
      <c r="C135" s="1"/>
      <c r="D135" s="1"/>
    </row>
    <row r="136" spans="2:4" x14ac:dyDescent="0.2">
      <c r="B136" s="10"/>
      <c r="C136" s="1"/>
      <c r="D136" s="1"/>
    </row>
    <row r="137" spans="2:4" x14ac:dyDescent="0.2">
      <c r="B137" s="10"/>
      <c r="C137" s="1"/>
      <c r="D137" s="1"/>
    </row>
    <row r="138" spans="2:4" x14ac:dyDescent="0.2">
      <c r="B138" s="10"/>
      <c r="C138" s="1"/>
      <c r="D138" s="1"/>
    </row>
    <row r="139" spans="2:4" x14ac:dyDescent="0.2">
      <c r="B139" s="10"/>
      <c r="C139" s="1"/>
      <c r="D139" s="1"/>
    </row>
    <row r="140" spans="2:4" x14ac:dyDescent="0.2">
      <c r="B140" s="10"/>
      <c r="C140" s="1"/>
      <c r="D140" s="1"/>
    </row>
    <row r="141" spans="2:4" x14ac:dyDescent="0.2">
      <c r="B141" s="10"/>
      <c r="C141" s="1"/>
      <c r="D141" s="1"/>
    </row>
    <row r="142" spans="2:4" x14ac:dyDescent="0.2">
      <c r="B142" s="10"/>
      <c r="C142" s="1"/>
      <c r="D142" s="1"/>
    </row>
    <row r="143" spans="2:4" x14ac:dyDescent="0.2">
      <c r="B143" s="10"/>
      <c r="C143" s="1"/>
      <c r="D143" s="1"/>
    </row>
    <row r="144" spans="2:4" x14ac:dyDescent="0.2">
      <c r="B144" s="10"/>
      <c r="C144" s="1"/>
      <c r="D144" s="1"/>
    </row>
    <row r="145" spans="2:4" x14ac:dyDescent="0.2">
      <c r="B145" s="10"/>
      <c r="C145" s="1"/>
      <c r="D145" s="1"/>
    </row>
    <row r="146" spans="2:4" x14ac:dyDescent="0.2">
      <c r="B146" s="10"/>
      <c r="C146" s="1"/>
      <c r="D146" s="1"/>
    </row>
    <row r="147" spans="2:4" x14ac:dyDescent="0.2">
      <c r="B147" s="10"/>
      <c r="C147" s="1"/>
      <c r="D147" s="1"/>
    </row>
    <row r="148" spans="2:4" x14ac:dyDescent="0.2">
      <c r="B148" s="10"/>
      <c r="C148" s="1"/>
      <c r="D148" s="1"/>
    </row>
    <row r="149" spans="2:4" x14ac:dyDescent="0.2">
      <c r="B149" s="10"/>
      <c r="C149" s="1"/>
      <c r="D149" s="1"/>
    </row>
    <row r="150" spans="2:4" x14ac:dyDescent="0.2">
      <c r="B150" s="10"/>
      <c r="C150" s="1"/>
      <c r="D150" s="1"/>
    </row>
    <row r="151" spans="2:4" x14ac:dyDescent="0.2">
      <c r="B151" s="10"/>
      <c r="C151" s="1"/>
      <c r="D151" s="1"/>
    </row>
    <row r="152" spans="2:4" x14ac:dyDescent="0.2">
      <c r="B152" s="10"/>
      <c r="C152" s="1"/>
      <c r="D152" s="1"/>
    </row>
    <row r="153" spans="2:4" x14ac:dyDescent="0.2">
      <c r="B153" s="10"/>
      <c r="C153" s="1"/>
      <c r="D153" s="1"/>
    </row>
    <row r="154" spans="2:4" x14ac:dyDescent="0.2">
      <c r="B154" s="10"/>
      <c r="C154" s="1"/>
      <c r="D154" s="1"/>
    </row>
    <row r="155" spans="2:4" x14ac:dyDescent="0.2">
      <c r="B155" s="10"/>
      <c r="C155" s="1"/>
      <c r="D155" s="1"/>
    </row>
    <row r="156" spans="2:4" x14ac:dyDescent="0.2">
      <c r="B156" s="10"/>
      <c r="C156" s="1"/>
      <c r="D156" s="1"/>
    </row>
    <row r="157" spans="2:4" x14ac:dyDescent="0.2">
      <c r="B157" s="10"/>
      <c r="C157" s="1"/>
      <c r="D157" s="1"/>
    </row>
    <row r="158" spans="2:4" x14ac:dyDescent="0.2">
      <c r="B158" s="10"/>
      <c r="C158" s="1"/>
      <c r="D158" s="1"/>
    </row>
    <row r="159" spans="2:4" x14ac:dyDescent="0.2">
      <c r="B159" s="10"/>
      <c r="C159" s="1"/>
      <c r="D159" s="1"/>
    </row>
    <row r="160" spans="2:4" x14ac:dyDescent="0.2">
      <c r="B160" s="10"/>
      <c r="C160" s="1"/>
      <c r="D160" s="1"/>
    </row>
    <row r="161" spans="2:4" x14ac:dyDescent="0.2">
      <c r="B161" s="10"/>
      <c r="C161" s="1"/>
      <c r="D161" s="1"/>
    </row>
    <row r="162" spans="2:4" x14ac:dyDescent="0.2">
      <c r="B162" s="10"/>
      <c r="C162" s="1"/>
      <c r="D162" s="1"/>
    </row>
    <row r="163" spans="2:4" x14ac:dyDescent="0.2">
      <c r="B163" s="10"/>
      <c r="C163" s="1"/>
      <c r="D163" s="1"/>
    </row>
    <row r="164" spans="2:4" x14ac:dyDescent="0.2">
      <c r="B164" s="10"/>
      <c r="C164" s="1"/>
      <c r="D164" s="1"/>
    </row>
    <row r="165" spans="2:4" x14ac:dyDescent="0.2">
      <c r="B165" s="10"/>
      <c r="C165" s="1"/>
      <c r="D165" s="1"/>
    </row>
    <row r="166" spans="2:4" x14ac:dyDescent="0.2">
      <c r="B166" s="10"/>
      <c r="C166" s="1"/>
      <c r="D166" s="1"/>
    </row>
    <row r="167" spans="2:4" x14ac:dyDescent="0.2">
      <c r="B167" s="10"/>
      <c r="C167" s="1"/>
      <c r="D167" s="1"/>
    </row>
    <row r="168" spans="2:4" x14ac:dyDescent="0.2">
      <c r="B168" s="10"/>
      <c r="C168" s="1"/>
      <c r="D168" s="1"/>
    </row>
    <row r="169" spans="2:4" x14ac:dyDescent="0.2">
      <c r="B169" s="10"/>
      <c r="C169" s="1"/>
      <c r="D169" s="1"/>
    </row>
    <row r="170" spans="2:4" x14ac:dyDescent="0.2">
      <c r="B170" s="10"/>
      <c r="C170" s="1"/>
      <c r="D170" s="1"/>
    </row>
    <row r="171" spans="2:4" x14ac:dyDescent="0.2">
      <c r="B171" s="10"/>
      <c r="C171" s="1"/>
      <c r="D171" s="1"/>
    </row>
    <row r="172" spans="2:4" x14ac:dyDescent="0.2">
      <c r="B172" s="10"/>
      <c r="C172" s="1"/>
      <c r="D172" s="1"/>
    </row>
    <row r="173" spans="2:4" x14ac:dyDescent="0.2">
      <c r="B173" s="10"/>
      <c r="C173" s="1"/>
      <c r="D173" s="1"/>
    </row>
    <row r="174" spans="2:4" x14ac:dyDescent="0.2">
      <c r="B174" s="10"/>
      <c r="C174" s="1"/>
      <c r="D174" s="1"/>
    </row>
    <row r="175" spans="2:4" x14ac:dyDescent="0.2">
      <c r="B175" s="10"/>
      <c r="C175" s="1"/>
      <c r="D175" s="1"/>
    </row>
    <row r="176" spans="2:4" x14ac:dyDescent="0.2">
      <c r="B176" s="10"/>
      <c r="C176" s="1"/>
      <c r="D176" s="1"/>
    </row>
    <row r="177" spans="2:4" x14ac:dyDescent="0.2">
      <c r="B177" s="10"/>
      <c r="C177" s="1"/>
      <c r="D177" s="1"/>
    </row>
    <row r="178" spans="2:4" x14ac:dyDescent="0.2">
      <c r="B178" s="10"/>
      <c r="C178" s="1"/>
      <c r="D178" s="1"/>
    </row>
    <row r="179" spans="2:4" x14ac:dyDescent="0.2">
      <c r="B179" s="10"/>
      <c r="C179" s="1"/>
      <c r="D179" s="1"/>
    </row>
    <row r="180" spans="2:4" x14ac:dyDescent="0.2">
      <c r="B180" s="10"/>
      <c r="C180" s="1"/>
      <c r="D180" s="1"/>
    </row>
    <row r="181" spans="2:4" x14ac:dyDescent="0.2">
      <c r="B181" s="10"/>
      <c r="C181" s="1"/>
      <c r="D181" s="1"/>
    </row>
    <row r="182" spans="2:4" x14ac:dyDescent="0.2">
      <c r="B182" s="10"/>
      <c r="C182" s="1"/>
      <c r="D182" s="1"/>
    </row>
    <row r="183" spans="2:4" x14ac:dyDescent="0.2">
      <c r="B183" s="10"/>
      <c r="C183" s="1"/>
      <c r="D183" s="1"/>
    </row>
    <row r="184" spans="2:4" x14ac:dyDescent="0.2">
      <c r="B184" s="10"/>
      <c r="C184" s="1"/>
      <c r="D184" s="1"/>
    </row>
    <row r="185" spans="2:4" x14ac:dyDescent="0.2">
      <c r="B185" s="10"/>
      <c r="C185" s="1"/>
      <c r="D185" s="1"/>
    </row>
    <row r="186" spans="2:4" x14ac:dyDescent="0.2">
      <c r="B186" s="10"/>
      <c r="C186" s="1"/>
      <c r="D186" s="1"/>
    </row>
    <row r="187" spans="2:4" x14ac:dyDescent="0.2">
      <c r="B187" s="10"/>
      <c r="C187" s="1"/>
      <c r="D187" s="1"/>
    </row>
    <row r="188" spans="2:4" x14ac:dyDescent="0.2">
      <c r="B188" s="10"/>
      <c r="C188" s="1"/>
      <c r="D188" s="1"/>
    </row>
    <row r="189" spans="2:4" x14ac:dyDescent="0.2">
      <c r="B189" s="10"/>
      <c r="C189" s="1"/>
      <c r="D189" s="1"/>
    </row>
    <row r="190" spans="2:4" x14ac:dyDescent="0.2">
      <c r="B190" s="10"/>
      <c r="C190" s="1"/>
      <c r="D190" s="1"/>
    </row>
    <row r="191" spans="2:4" x14ac:dyDescent="0.2">
      <c r="B191" s="10"/>
      <c r="C191" s="1"/>
      <c r="D191" s="1"/>
    </row>
    <row r="192" spans="2:4" x14ac:dyDescent="0.2">
      <c r="B192" s="10"/>
      <c r="C192" s="1"/>
      <c r="D192" s="1"/>
    </row>
    <row r="193" spans="2:4" x14ac:dyDescent="0.2">
      <c r="B193" s="10"/>
      <c r="C193" s="1"/>
      <c r="D193" s="1"/>
    </row>
    <row r="194" spans="2:4" x14ac:dyDescent="0.2">
      <c r="B194" s="10"/>
      <c r="C194" s="1"/>
      <c r="D194" s="1"/>
    </row>
    <row r="195" spans="2:4" x14ac:dyDescent="0.2">
      <c r="B195" s="10"/>
      <c r="C195" s="1"/>
      <c r="D195" s="1"/>
    </row>
    <row r="196" spans="2:4" x14ac:dyDescent="0.2">
      <c r="B196" s="10"/>
      <c r="C196" s="1"/>
      <c r="D196" s="1"/>
    </row>
    <row r="197" spans="2:4" x14ac:dyDescent="0.2">
      <c r="B197" s="10"/>
      <c r="C197" s="1"/>
      <c r="D197" s="1"/>
    </row>
    <row r="198" spans="2:4" x14ac:dyDescent="0.2">
      <c r="B198" s="10"/>
      <c r="C198" s="1"/>
      <c r="D198" s="1"/>
    </row>
    <row r="199" spans="2:4" x14ac:dyDescent="0.2">
      <c r="B199" s="10"/>
      <c r="C199" s="1"/>
      <c r="D199" s="1"/>
    </row>
    <row r="200" spans="2:4" x14ac:dyDescent="0.2">
      <c r="B200" s="10"/>
      <c r="C200" s="1"/>
      <c r="D200" s="1"/>
    </row>
    <row r="201" spans="2:4" x14ac:dyDescent="0.2">
      <c r="B201" s="10"/>
      <c r="C201" s="1"/>
      <c r="D201" s="1"/>
    </row>
    <row r="202" spans="2:4" x14ac:dyDescent="0.2">
      <c r="B202" s="10"/>
      <c r="C202" s="1"/>
      <c r="D202" s="1"/>
    </row>
    <row r="203" spans="2:4" x14ac:dyDescent="0.2">
      <c r="B203" s="10"/>
      <c r="C203" s="1"/>
      <c r="D203" s="1"/>
    </row>
    <row r="204" spans="2:4" x14ac:dyDescent="0.2">
      <c r="B204" s="10"/>
      <c r="C204" s="1"/>
      <c r="D204" s="1"/>
    </row>
    <row r="205" spans="2:4" x14ac:dyDescent="0.2">
      <c r="B205" s="10"/>
      <c r="C205" s="1"/>
      <c r="D205" s="1"/>
    </row>
    <row r="206" spans="2:4" x14ac:dyDescent="0.2">
      <c r="B206" s="10"/>
      <c r="C206" s="1"/>
      <c r="D206" s="1"/>
    </row>
    <row r="207" spans="2:4" x14ac:dyDescent="0.2">
      <c r="B207" s="10"/>
      <c r="C207" s="1"/>
      <c r="D207" s="1"/>
    </row>
    <row r="208" spans="2:4" x14ac:dyDescent="0.2">
      <c r="B208" s="10"/>
      <c r="C208" s="1"/>
      <c r="D208" s="1"/>
    </row>
    <row r="209" spans="2:4" x14ac:dyDescent="0.2">
      <c r="B209" s="10"/>
      <c r="C209" s="1"/>
      <c r="D209" s="1"/>
    </row>
    <row r="210" spans="2:4" x14ac:dyDescent="0.2">
      <c r="B210" s="10"/>
      <c r="C210" s="1"/>
      <c r="D210" s="1"/>
    </row>
    <row r="211" spans="2:4" x14ac:dyDescent="0.2">
      <c r="B211" s="10"/>
      <c r="C211" s="1"/>
      <c r="D211" s="1"/>
    </row>
    <row r="212" spans="2:4" x14ac:dyDescent="0.2">
      <c r="B212" s="10"/>
      <c r="C212" s="1"/>
      <c r="D212" s="1"/>
    </row>
    <row r="213" spans="2:4" x14ac:dyDescent="0.2">
      <c r="B213" s="10"/>
      <c r="C213" s="1"/>
      <c r="D213" s="1"/>
    </row>
    <row r="214" spans="2:4" x14ac:dyDescent="0.2">
      <c r="B214" s="10"/>
      <c r="C214" s="1"/>
      <c r="D214" s="1"/>
    </row>
    <row r="215" spans="2:4" x14ac:dyDescent="0.2">
      <c r="B215" s="10"/>
      <c r="C215" s="1"/>
      <c r="D215" s="1"/>
    </row>
    <row r="216" spans="2:4" x14ac:dyDescent="0.2">
      <c r="B216" s="10"/>
      <c r="C216" s="1"/>
      <c r="D216" s="1"/>
    </row>
    <row r="217" spans="2:4" x14ac:dyDescent="0.2">
      <c r="B217" s="10"/>
      <c r="C217" s="1"/>
      <c r="D217" s="1"/>
    </row>
    <row r="218" spans="2:4" x14ac:dyDescent="0.2">
      <c r="B218" s="10"/>
      <c r="C218" s="1"/>
      <c r="D218" s="1"/>
    </row>
    <row r="219" spans="2:4" x14ac:dyDescent="0.2">
      <c r="B219" s="10"/>
      <c r="C219" s="1"/>
      <c r="D219" s="1"/>
    </row>
    <row r="220" spans="2:4" x14ac:dyDescent="0.2">
      <c r="B220" s="10"/>
      <c r="C220" s="1"/>
      <c r="D220" s="1"/>
    </row>
    <row r="221" spans="2:4" x14ac:dyDescent="0.2">
      <c r="B221" s="10"/>
      <c r="C221" s="1"/>
      <c r="D221" s="1"/>
    </row>
    <row r="222" spans="2:4" x14ac:dyDescent="0.2">
      <c r="B222" s="10"/>
      <c r="C222" s="1"/>
      <c r="D222" s="1"/>
    </row>
    <row r="223" spans="2:4" x14ac:dyDescent="0.2">
      <c r="B223" s="10"/>
      <c r="C223" s="1"/>
      <c r="D223" s="1"/>
    </row>
    <row r="224" spans="2:4" x14ac:dyDescent="0.2">
      <c r="B224" s="10"/>
      <c r="C224" s="1"/>
      <c r="D224" s="1"/>
    </row>
    <row r="225" spans="2:4" x14ac:dyDescent="0.2">
      <c r="B225" s="10"/>
      <c r="C225" s="1"/>
      <c r="D225" s="1"/>
    </row>
    <row r="226" spans="2:4" x14ac:dyDescent="0.2">
      <c r="B226" s="10"/>
      <c r="C226" s="1"/>
      <c r="D226" s="1"/>
    </row>
    <row r="227" spans="2:4" x14ac:dyDescent="0.2">
      <c r="B227" s="10"/>
      <c r="C227" s="1"/>
      <c r="D227" s="1"/>
    </row>
    <row r="228" spans="2:4" x14ac:dyDescent="0.2">
      <c r="B228" s="10"/>
      <c r="C228" s="1"/>
      <c r="D228" s="1"/>
    </row>
    <row r="229" spans="2:4" x14ac:dyDescent="0.2">
      <c r="B229" s="10"/>
      <c r="C229" s="1"/>
      <c r="D229" s="1"/>
    </row>
    <row r="230" spans="2:4" x14ac:dyDescent="0.2">
      <c r="B230" s="10"/>
      <c r="C230" s="1"/>
      <c r="D230" s="1"/>
    </row>
    <row r="231" spans="2:4" x14ac:dyDescent="0.2">
      <c r="B231" s="10"/>
      <c r="C231" s="1"/>
      <c r="D231" s="1"/>
    </row>
    <row r="232" spans="2:4" x14ac:dyDescent="0.2">
      <c r="B232" s="10"/>
      <c r="C232" s="1"/>
      <c r="D232" s="1"/>
    </row>
    <row r="233" spans="2:4" x14ac:dyDescent="0.2">
      <c r="B233" s="10"/>
      <c r="C233" s="1"/>
      <c r="D233" s="1"/>
    </row>
    <row r="234" spans="2:4" x14ac:dyDescent="0.2">
      <c r="B234" s="10"/>
      <c r="C234" s="1"/>
      <c r="D234" s="1"/>
    </row>
    <row r="235" spans="2:4" x14ac:dyDescent="0.2">
      <c r="B235" s="10"/>
      <c r="C235" s="1"/>
      <c r="D235" s="1"/>
    </row>
    <row r="236" spans="2:4" x14ac:dyDescent="0.2">
      <c r="B236" s="10"/>
      <c r="C236" s="1"/>
      <c r="D236" s="1"/>
    </row>
    <row r="237" spans="2:4" x14ac:dyDescent="0.2">
      <c r="B237" s="10"/>
      <c r="C237" s="1"/>
      <c r="D237" s="1"/>
    </row>
    <row r="238" spans="2:4" x14ac:dyDescent="0.2">
      <c r="B238" s="10"/>
      <c r="C238" s="1"/>
      <c r="D238" s="1"/>
    </row>
    <row r="239" spans="2:4" x14ac:dyDescent="0.2">
      <c r="B239" s="10"/>
      <c r="C239" s="1"/>
      <c r="D239" s="1"/>
    </row>
    <row r="240" spans="2:4" x14ac:dyDescent="0.2">
      <c r="B240" s="10"/>
      <c r="C240" s="1"/>
      <c r="D240" s="1"/>
    </row>
    <row r="241" spans="2:4" x14ac:dyDescent="0.2">
      <c r="B241" s="10"/>
      <c r="C241" s="1"/>
      <c r="D241" s="1"/>
    </row>
    <row r="242" spans="2:4" x14ac:dyDescent="0.2">
      <c r="B242" s="10"/>
      <c r="C242" s="1"/>
      <c r="D242" s="1"/>
    </row>
    <row r="243" spans="2:4" x14ac:dyDescent="0.2">
      <c r="B243" s="10"/>
      <c r="C243" s="1"/>
      <c r="D243" s="1"/>
    </row>
    <row r="244" spans="2:4" x14ac:dyDescent="0.2">
      <c r="B244" s="10"/>
      <c r="C244" s="1"/>
      <c r="D244" s="1"/>
    </row>
    <row r="245" spans="2:4" x14ac:dyDescent="0.2">
      <c r="B245" s="10"/>
      <c r="C245" s="1"/>
      <c r="D245" s="1"/>
    </row>
    <row r="246" spans="2:4" x14ac:dyDescent="0.2">
      <c r="B246" s="10"/>
      <c r="C246" s="1"/>
      <c r="D246" s="1"/>
    </row>
    <row r="247" spans="2:4" x14ac:dyDescent="0.2">
      <c r="B247" s="10"/>
      <c r="C247" s="1"/>
      <c r="D247" s="1"/>
    </row>
    <row r="248" spans="2:4" x14ac:dyDescent="0.2">
      <c r="B248" s="10"/>
      <c r="C248" s="1"/>
      <c r="D248" s="1"/>
    </row>
    <row r="249" spans="2:4" x14ac:dyDescent="0.2">
      <c r="B249" s="10"/>
      <c r="C249" s="1"/>
      <c r="D249" s="1"/>
    </row>
    <row r="250" spans="2:4" x14ac:dyDescent="0.2">
      <c r="B250" s="10"/>
      <c r="C250" s="1"/>
      <c r="D250" s="1"/>
    </row>
    <row r="251" spans="2:4" x14ac:dyDescent="0.2">
      <c r="B251" s="10"/>
      <c r="C251" s="1"/>
      <c r="D251" s="1"/>
    </row>
    <row r="252" spans="2:4" x14ac:dyDescent="0.2">
      <c r="B252" s="10"/>
      <c r="C252" s="1"/>
      <c r="D252" s="1"/>
    </row>
    <row r="253" spans="2:4" x14ac:dyDescent="0.2">
      <c r="B253" s="10"/>
      <c r="C253" s="1"/>
      <c r="D253" s="1"/>
    </row>
    <row r="254" spans="2:4" x14ac:dyDescent="0.2">
      <c r="B254" s="10"/>
      <c r="C254" s="1"/>
      <c r="D254" s="1"/>
    </row>
    <row r="255" spans="2:4" x14ac:dyDescent="0.2">
      <c r="B255" s="10"/>
      <c r="C255" s="1"/>
      <c r="D255" s="1"/>
    </row>
    <row r="256" spans="2:4" x14ac:dyDescent="0.2">
      <c r="B256" s="10"/>
      <c r="C256" s="1"/>
      <c r="D256" s="1"/>
    </row>
    <row r="257" spans="2:4" x14ac:dyDescent="0.2">
      <c r="B257" s="10"/>
      <c r="C257" s="1"/>
      <c r="D257" s="1"/>
    </row>
    <row r="258" spans="2:4" x14ac:dyDescent="0.2">
      <c r="B258" s="10"/>
      <c r="C258" s="1"/>
      <c r="D258" s="1"/>
    </row>
    <row r="259" spans="2:4" x14ac:dyDescent="0.2">
      <c r="B259" s="10"/>
      <c r="C259" s="1"/>
      <c r="D259" s="1"/>
    </row>
    <row r="260" spans="2:4" x14ac:dyDescent="0.2">
      <c r="B260" s="10"/>
      <c r="C260" s="1"/>
      <c r="D260" s="1"/>
    </row>
    <row r="261" spans="2:4" x14ac:dyDescent="0.2">
      <c r="B261" s="10"/>
      <c r="C261" s="1"/>
      <c r="D261" s="1"/>
    </row>
    <row r="262" spans="2:4" x14ac:dyDescent="0.2">
      <c r="B262" s="10"/>
      <c r="C262" s="1"/>
      <c r="D262" s="1"/>
    </row>
    <row r="263" spans="2:4" x14ac:dyDescent="0.2">
      <c r="B263" s="10"/>
      <c r="C263" s="1"/>
      <c r="D263" s="1"/>
    </row>
    <row r="264" spans="2:4" x14ac:dyDescent="0.2">
      <c r="B264" s="10"/>
      <c r="C264" s="1"/>
      <c r="D264" s="1"/>
    </row>
    <row r="265" spans="2:4" x14ac:dyDescent="0.2">
      <c r="B265" s="10"/>
      <c r="C265" s="1"/>
      <c r="D265" s="1"/>
    </row>
    <row r="266" spans="2:4" x14ac:dyDescent="0.2">
      <c r="B266" s="10"/>
      <c r="C266" s="1"/>
      <c r="D266" s="1"/>
    </row>
    <row r="267" spans="2:4" x14ac:dyDescent="0.2">
      <c r="B267" s="10"/>
      <c r="C267" s="1"/>
      <c r="D267" s="1"/>
    </row>
    <row r="268" spans="2:4" x14ac:dyDescent="0.2">
      <c r="B268" s="10"/>
      <c r="C268" s="1"/>
      <c r="D268" s="1"/>
    </row>
    <row r="269" spans="2:4" x14ac:dyDescent="0.2">
      <c r="B269" s="10"/>
      <c r="C269" s="1"/>
      <c r="D269" s="1"/>
    </row>
    <row r="270" spans="2:4" x14ac:dyDescent="0.2">
      <c r="B270" s="10"/>
      <c r="C270" s="1"/>
      <c r="D270" s="1"/>
    </row>
    <row r="271" spans="2:4" x14ac:dyDescent="0.2">
      <c r="B271" s="10"/>
      <c r="C271" s="1"/>
      <c r="D271" s="1"/>
    </row>
    <row r="272" spans="2:4" x14ac:dyDescent="0.2">
      <c r="B272" s="10"/>
      <c r="C272" s="1"/>
      <c r="D272" s="1"/>
    </row>
    <row r="273" spans="2:4" x14ac:dyDescent="0.2">
      <c r="B273" s="10"/>
      <c r="C273" s="1"/>
      <c r="D273" s="1"/>
    </row>
    <row r="274" spans="2:4" x14ac:dyDescent="0.2">
      <c r="B274" s="10"/>
      <c r="C274" s="1"/>
      <c r="D274" s="1"/>
    </row>
    <row r="275" spans="2:4" x14ac:dyDescent="0.2">
      <c r="B275" s="10"/>
      <c r="C275" s="1"/>
      <c r="D275" s="1"/>
    </row>
    <row r="276" spans="2:4" x14ac:dyDescent="0.2">
      <c r="B276" s="10"/>
      <c r="C276" s="1"/>
      <c r="D276" s="1"/>
    </row>
    <row r="277" spans="2:4" x14ac:dyDescent="0.2">
      <c r="B277" s="10"/>
      <c r="C277" s="1"/>
      <c r="D277" s="1"/>
    </row>
    <row r="278" spans="2:4" x14ac:dyDescent="0.2">
      <c r="B278" s="10"/>
      <c r="C278" s="1"/>
      <c r="D278" s="1"/>
    </row>
    <row r="279" spans="2:4" x14ac:dyDescent="0.2">
      <c r="B279" s="10"/>
      <c r="C279" s="1"/>
      <c r="D279" s="1"/>
    </row>
    <row r="280" spans="2:4" x14ac:dyDescent="0.2">
      <c r="B280" s="10"/>
      <c r="C280" s="1"/>
      <c r="D280" s="1"/>
    </row>
    <row r="281" spans="2:4" x14ac:dyDescent="0.2">
      <c r="B281" s="10"/>
      <c r="C281" s="1"/>
      <c r="D281" s="1"/>
    </row>
    <row r="282" spans="2:4" x14ac:dyDescent="0.2">
      <c r="B282" s="10"/>
      <c r="C282" s="1"/>
      <c r="D282" s="1"/>
    </row>
    <row r="283" spans="2:4" x14ac:dyDescent="0.2">
      <c r="B283" s="10"/>
      <c r="C283" s="1"/>
      <c r="D283" s="1"/>
    </row>
    <row r="284" spans="2:4" x14ac:dyDescent="0.2">
      <c r="B284" s="10"/>
      <c r="C284" s="1"/>
      <c r="D284" s="1"/>
    </row>
    <row r="285" spans="2:4" x14ac:dyDescent="0.2">
      <c r="B285" s="10"/>
      <c r="C285" s="1"/>
      <c r="D285" s="1"/>
    </row>
    <row r="286" spans="2:4" x14ac:dyDescent="0.2">
      <c r="B286" s="10"/>
      <c r="C286" s="1"/>
      <c r="D286" s="1"/>
    </row>
    <row r="287" spans="2:4" x14ac:dyDescent="0.2">
      <c r="B287" s="10"/>
      <c r="C287" s="1"/>
      <c r="D287" s="1"/>
    </row>
    <row r="288" spans="2:4" x14ac:dyDescent="0.2">
      <c r="B288" s="10"/>
      <c r="C288" s="1"/>
      <c r="D288" s="1"/>
    </row>
    <row r="289" spans="2:4" x14ac:dyDescent="0.2">
      <c r="B289" s="10"/>
      <c r="C289" s="1"/>
      <c r="D289" s="1"/>
    </row>
    <row r="290" spans="2:4" x14ac:dyDescent="0.2">
      <c r="B290" s="10"/>
      <c r="C290" s="1"/>
      <c r="D290" s="1"/>
    </row>
    <row r="291" spans="2:4" x14ac:dyDescent="0.2">
      <c r="B291" s="10"/>
      <c r="C291" s="1"/>
      <c r="D291" s="1"/>
    </row>
    <row r="292" spans="2:4" x14ac:dyDescent="0.2">
      <c r="B292" s="10"/>
      <c r="C292" s="1"/>
      <c r="D292" s="1"/>
    </row>
    <row r="293" spans="2:4" x14ac:dyDescent="0.2">
      <c r="B293" s="10"/>
      <c r="C293" s="1"/>
      <c r="D293" s="1"/>
    </row>
    <row r="294" spans="2:4" x14ac:dyDescent="0.2">
      <c r="B294" s="10"/>
      <c r="C294" s="1"/>
      <c r="D294" s="1"/>
    </row>
    <row r="295" spans="2:4" x14ac:dyDescent="0.2">
      <c r="B295" s="10"/>
      <c r="C295" s="1"/>
      <c r="D295" s="1"/>
    </row>
    <row r="296" spans="2:4" x14ac:dyDescent="0.2">
      <c r="B296" s="10"/>
      <c r="C296" s="1"/>
      <c r="D296" s="1"/>
    </row>
    <row r="297" spans="2:4" x14ac:dyDescent="0.2">
      <c r="B297" s="10"/>
      <c r="C297" s="1"/>
      <c r="D297" s="1"/>
    </row>
    <row r="298" spans="2:4" x14ac:dyDescent="0.2">
      <c r="B298" s="10"/>
      <c r="C298" s="1"/>
      <c r="D298" s="1"/>
    </row>
    <row r="299" spans="2:4" x14ac:dyDescent="0.2">
      <c r="B299" s="10"/>
      <c r="C299" s="1"/>
      <c r="D299" s="1"/>
    </row>
    <row r="300" spans="2:4" x14ac:dyDescent="0.2">
      <c r="B300" s="10"/>
      <c r="C300" s="1"/>
      <c r="D300" s="1"/>
    </row>
    <row r="301" spans="2:4" x14ac:dyDescent="0.2">
      <c r="B301" s="10"/>
      <c r="C301" s="1"/>
      <c r="D301" s="1"/>
    </row>
    <row r="302" spans="2:4" x14ac:dyDescent="0.2">
      <c r="B302" s="10"/>
      <c r="C302" s="1"/>
      <c r="D302" s="1"/>
    </row>
    <row r="303" spans="2:4" x14ac:dyDescent="0.2">
      <c r="B303" s="10"/>
      <c r="C303" s="1"/>
      <c r="D303" s="1"/>
    </row>
    <row r="304" spans="2:4" x14ac:dyDescent="0.2">
      <c r="B304" s="10"/>
      <c r="C304" s="1"/>
      <c r="D304" s="1"/>
    </row>
    <row r="305" spans="2:4" x14ac:dyDescent="0.2">
      <c r="B305" s="10"/>
      <c r="C305" s="1"/>
      <c r="D305" s="1"/>
    </row>
    <row r="306" spans="2:4" x14ac:dyDescent="0.2">
      <c r="B306" s="10"/>
      <c r="C306" s="1"/>
      <c r="D306" s="1"/>
    </row>
    <row r="307" spans="2:4" x14ac:dyDescent="0.2">
      <c r="B307" s="10"/>
      <c r="C307" s="1"/>
      <c r="D307" s="1"/>
    </row>
    <row r="308" spans="2:4" x14ac:dyDescent="0.2">
      <c r="B308" s="10"/>
      <c r="C308" s="1"/>
      <c r="D308" s="1"/>
    </row>
    <row r="309" spans="2:4" x14ac:dyDescent="0.2">
      <c r="B309" s="10"/>
      <c r="C309" s="1"/>
      <c r="D309" s="1"/>
    </row>
    <row r="310" spans="2:4" x14ac:dyDescent="0.2">
      <c r="B310" s="10"/>
      <c r="C310" s="1"/>
      <c r="D310" s="1"/>
    </row>
    <row r="311" spans="2:4" x14ac:dyDescent="0.2">
      <c r="B311" s="10"/>
      <c r="C311" s="1"/>
      <c r="D311" s="1"/>
    </row>
    <row r="312" spans="2:4" x14ac:dyDescent="0.2">
      <c r="B312" s="10"/>
      <c r="C312" s="1"/>
      <c r="D312" s="1"/>
    </row>
    <row r="313" spans="2:4" x14ac:dyDescent="0.2">
      <c r="B313" s="10"/>
      <c r="C313" s="1"/>
      <c r="D313" s="1"/>
    </row>
    <row r="314" spans="2:4" x14ac:dyDescent="0.2">
      <c r="B314" s="10"/>
      <c r="C314" s="1"/>
      <c r="D314" s="1"/>
    </row>
    <row r="315" spans="2:4" x14ac:dyDescent="0.2">
      <c r="B315" s="10"/>
      <c r="C315" s="1"/>
      <c r="D315" s="1"/>
    </row>
    <row r="316" spans="2:4" x14ac:dyDescent="0.2">
      <c r="B316" s="10"/>
      <c r="C316" s="1"/>
      <c r="D316" s="1"/>
    </row>
    <row r="317" spans="2:4" x14ac:dyDescent="0.2">
      <c r="B317" s="10"/>
      <c r="C317" s="1"/>
      <c r="D317" s="1"/>
    </row>
    <row r="318" spans="2:4" x14ac:dyDescent="0.2">
      <c r="B318" s="10"/>
      <c r="C318" s="1"/>
      <c r="D318" s="1"/>
    </row>
    <row r="319" spans="2:4" x14ac:dyDescent="0.2">
      <c r="B319" s="10"/>
      <c r="C319" s="1"/>
      <c r="D319" s="1"/>
    </row>
    <row r="320" spans="2:4" x14ac:dyDescent="0.2">
      <c r="B320" s="10"/>
      <c r="C320" s="1"/>
      <c r="D320" s="1"/>
    </row>
    <row r="321" spans="2:4" x14ac:dyDescent="0.2">
      <c r="B321" s="10"/>
      <c r="C321" s="1"/>
      <c r="D321" s="1"/>
    </row>
    <row r="322" spans="2:4" x14ac:dyDescent="0.2">
      <c r="B322" s="10"/>
      <c r="C322" s="1"/>
      <c r="D322" s="1"/>
    </row>
    <row r="323" spans="2:4" x14ac:dyDescent="0.2">
      <c r="B323" s="10"/>
      <c r="C323" s="1"/>
      <c r="D323" s="1"/>
    </row>
    <row r="324" spans="2:4" x14ac:dyDescent="0.2">
      <c r="B324" s="10"/>
      <c r="C324" s="1"/>
      <c r="D324" s="1"/>
    </row>
    <row r="325" spans="2:4" x14ac:dyDescent="0.2">
      <c r="B325" s="10"/>
      <c r="C325" s="1"/>
      <c r="D325" s="1"/>
    </row>
    <row r="326" spans="2:4" x14ac:dyDescent="0.2">
      <c r="B326" s="10"/>
      <c r="C326" s="1"/>
      <c r="D326" s="1"/>
    </row>
    <row r="327" spans="2:4" x14ac:dyDescent="0.2">
      <c r="B327" s="10"/>
      <c r="C327" s="1"/>
      <c r="D327" s="1"/>
    </row>
    <row r="328" spans="2:4" x14ac:dyDescent="0.2">
      <c r="B328" s="10"/>
      <c r="C328" s="1"/>
      <c r="D328" s="1"/>
    </row>
    <row r="329" spans="2:4" x14ac:dyDescent="0.2">
      <c r="B329" s="10"/>
      <c r="C329" s="1"/>
      <c r="D329" s="1"/>
    </row>
    <row r="330" spans="2:4" x14ac:dyDescent="0.2">
      <c r="B330" s="10"/>
      <c r="C330" s="1"/>
      <c r="D330" s="1"/>
    </row>
    <row r="331" spans="2:4" x14ac:dyDescent="0.2">
      <c r="B331" s="10"/>
      <c r="C331" s="1"/>
      <c r="D331" s="1"/>
    </row>
    <row r="332" spans="2:4" x14ac:dyDescent="0.2">
      <c r="B332" s="10"/>
      <c r="C332" s="1"/>
      <c r="D332" s="1"/>
    </row>
    <row r="333" spans="2:4" x14ac:dyDescent="0.2">
      <c r="B333" s="10"/>
      <c r="C333" s="1"/>
      <c r="D333" s="1"/>
    </row>
    <row r="334" spans="2:4" x14ac:dyDescent="0.2">
      <c r="B334" s="10"/>
      <c r="C334" s="1"/>
      <c r="D334" s="1"/>
    </row>
    <row r="335" spans="2:4" x14ac:dyDescent="0.2">
      <c r="B335" s="10"/>
      <c r="C335" s="1"/>
      <c r="D335" s="1"/>
    </row>
    <row r="336" spans="2:4" x14ac:dyDescent="0.2">
      <c r="B336" s="10"/>
      <c r="C336" s="1"/>
      <c r="D336" s="1"/>
    </row>
    <row r="337" spans="2:4" x14ac:dyDescent="0.2">
      <c r="B337" s="10"/>
      <c r="C337" s="1"/>
      <c r="D337" s="1"/>
    </row>
    <row r="338" spans="2:4" x14ac:dyDescent="0.2">
      <c r="B338" s="10"/>
      <c r="C338" s="1"/>
      <c r="D338" s="1"/>
    </row>
    <row r="339" spans="2:4" x14ac:dyDescent="0.2">
      <c r="B339" s="10"/>
      <c r="C339" s="1"/>
      <c r="D339" s="1"/>
    </row>
    <row r="340" spans="2:4" x14ac:dyDescent="0.2">
      <c r="B340" s="10"/>
      <c r="C340" s="1"/>
      <c r="D340" s="1"/>
    </row>
    <row r="341" spans="2:4" x14ac:dyDescent="0.2">
      <c r="B341" s="10"/>
      <c r="C341" s="1"/>
      <c r="D341" s="1"/>
    </row>
    <row r="342" spans="2:4" x14ac:dyDescent="0.2">
      <c r="B342" s="10"/>
      <c r="C342" s="1"/>
      <c r="D342" s="1"/>
    </row>
    <row r="343" spans="2:4" x14ac:dyDescent="0.2">
      <c r="B343" s="10"/>
      <c r="C343" s="1"/>
      <c r="D343" s="1"/>
    </row>
    <row r="344" spans="2:4" x14ac:dyDescent="0.2">
      <c r="B344" s="10"/>
      <c r="C344" s="1"/>
      <c r="D344" s="1"/>
    </row>
    <row r="345" spans="2:4" x14ac:dyDescent="0.2">
      <c r="B345" s="10"/>
      <c r="C345" s="1"/>
      <c r="D345" s="1"/>
    </row>
    <row r="346" spans="2:4" x14ac:dyDescent="0.2">
      <c r="B346" s="10"/>
      <c r="C346" s="1"/>
      <c r="D346" s="1"/>
    </row>
    <row r="347" spans="2:4" x14ac:dyDescent="0.2">
      <c r="B347" s="10"/>
      <c r="C347" s="1"/>
      <c r="D347" s="1"/>
    </row>
    <row r="348" spans="2:4" x14ac:dyDescent="0.2">
      <c r="B348" s="10"/>
      <c r="C348" s="1"/>
      <c r="D348" s="1"/>
    </row>
    <row r="349" spans="2:4" x14ac:dyDescent="0.2">
      <c r="B349" s="10"/>
      <c r="C349" s="1"/>
      <c r="D349" s="1"/>
    </row>
    <row r="350" spans="2:4" x14ac:dyDescent="0.2">
      <c r="B350" s="10"/>
      <c r="C350" s="1"/>
      <c r="D350" s="1"/>
    </row>
    <row r="351" spans="2:4" x14ac:dyDescent="0.2">
      <c r="B351" s="10"/>
      <c r="C351" s="1"/>
      <c r="D351" s="1"/>
    </row>
    <row r="352" spans="2:4" x14ac:dyDescent="0.2">
      <c r="B352" s="10"/>
      <c r="C352" s="1"/>
      <c r="D352" s="1"/>
    </row>
    <row r="353" spans="2:4" x14ac:dyDescent="0.2">
      <c r="B353" s="10"/>
      <c r="C353" s="1"/>
      <c r="D353" s="1"/>
    </row>
    <row r="354" spans="2:4" x14ac:dyDescent="0.2">
      <c r="B354" s="10"/>
      <c r="C354" s="1"/>
      <c r="D354" s="1"/>
    </row>
    <row r="355" spans="2:4" x14ac:dyDescent="0.2">
      <c r="B355" s="10"/>
      <c r="C355" s="1"/>
      <c r="D355" s="1"/>
    </row>
    <row r="356" spans="2:4" x14ac:dyDescent="0.2">
      <c r="B356" s="10"/>
      <c r="C356" s="1"/>
      <c r="D356" s="1"/>
    </row>
    <row r="357" spans="2:4" x14ac:dyDescent="0.2">
      <c r="B357" s="10"/>
      <c r="C357" s="1"/>
      <c r="D357" s="1"/>
    </row>
    <row r="358" spans="2:4" x14ac:dyDescent="0.2">
      <c r="B358" s="10"/>
      <c r="C358" s="1"/>
      <c r="D358" s="1"/>
    </row>
    <row r="359" spans="2:4" x14ac:dyDescent="0.2">
      <c r="B359" s="10"/>
      <c r="C359" s="1"/>
      <c r="D359" s="1"/>
    </row>
    <row r="360" spans="2:4" x14ac:dyDescent="0.2">
      <c r="B360" s="10"/>
      <c r="C360" s="1"/>
      <c r="D360" s="1"/>
    </row>
    <row r="361" spans="2:4" x14ac:dyDescent="0.2">
      <c r="B361" s="10"/>
      <c r="C361" s="1"/>
      <c r="D361" s="1"/>
    </row>
    <row r="362" spans="2:4" x14ac:dyDescent="0.2">
      <c r="B362" s="10"/>
      <c r="C362" s="1"/>
      <c r="D362" s="1"/>
    </row>
    <row r="363" spans="2:4" x14ac:dyDescent="0.2">
      <c r="B363" s="10"/>
      <c r="C363" s="1"/>
      <c r="D363" s="1"/>
    </row>
    <row r="364" spans="2:4" x14ac:dyDescent="0.2">
      <c r="B364" s="10"/>
      <c r="C364" s="1"/>
      <c r="D364" s="1"/>
    </row>
    <row r="365" spans="2:4" x14ac:dyDescent="0.2">
      <c r="B365" s="10"/>
      <c r="C365" s="1"/>
      <c r="D365" s="1"/>
    </row>
    <row r="366" spans="2:4" x14ac:dyDescent="0.2">
      <c r="B366" s="10"/>
      <c r="C366" s="1"/>
      <c r="D366" s="1"/>
    </row>
    <row r="367" spans="2:4" x14ac:dyDescent="0.2">
      <c r="B367" s="10"/>
      <c r="C367" s="1"/>
      <c r="D367" s="1"/>
    </row>
    <row r="368" spans="2:4" x14ac:dyDescent="0.2">
      <c r="B368" s="10"/>
      <c r="C368" s="1"/>
      <c r="D368" s="1"/>
    </row>
    <row r="369" spans="2:4" x14ac:dyDescent="0.2">
      <c r="B369" s="10"/>
      <c r="C369" s="1"/>
      <c r="D369" s="1"/>
    </row>
    <row r="370" spans="2:4" x14ac:dyDescent="0.2">
      <c r="B370" s="10"/>
      <c r="C370" s="1"/>
      <c r="D370" s="1"/>
    </row>
    <row r="371" spans="2:4" x14ac:dyDescent="0.2">
      <c r="B371" s="10"/>
      <c r="C371" s="1"/>
      <c r="D371" s="1"/>
    </row>
    <row r="372" spans="2:4" x14ac:dyDescent="0.2">
      <c r="B372" s="10"/>
      <c r="C372" s="1"/>
      <c r="D372" s="1"/>
    </row>
    <row r="373" spans="2:4" x14ac:dyDescent="0.2">
      <c r="B373" s="10"/>
      <c r="C373" s="1"/>
      <c r="D373" s="1"/>
    </row>
    <row r="374" spans="2:4" x14ac:dyDescent="0.2">
      <c r="B374" s="10"/>
      <c r="C374" s="1"/>
      <c r="D374" s="1"/>
    </row>
    <row r="375" spans="2:4" x14ac:dyDescent="0.2">
      <c r="B375" s="10"/>
      <c r="C375" s="1"/>
      <c r="D375" s="1"/>
    </row>
    <row r="376" spans="2:4" x14ac:dyDescent="0.2">
      <c r="B376" s="10"/>
      <c r="C376" s="1"/>
      <c r="D376" s="1"/>
    </row>
    <row r="377" spans="2:4" x14ac:dyDescent="0.2">
      <c r="B377" s="10"/>
      <c r="C377" s="1"/>
      <c r="D377" s="1"/>
    </row>
    <row r="378" spans="2:4" x14ac:dyDescent="0.2">
      <c r="B378" s="10"/>
      <c r="C378" s="1"/>
      <c r="D378" s="1"/>
    </row>
    <row r="379" spans="2:4" x14ac:dyDescent="0.2">
      <c r="B379" s="10"/>
      <c r="C379" s="1"/>
      <c r="D379" s="1"/>
    </row>
    <row r="380" spans="2:4" x14ac:dyDescent="0.2">
      <c r="B380" s="10"/>
      <c r="C380" s="1"/>
      <c r="D380" s="1"/>
    </row>
    <row r="381" spans="2:4" x14ac:dyDescent="0.2">
      <c r="B381" s="10"/>
      <c r="C381" s="1"/>
      <c r="D381" s="1"/>
    </row>
    <row r="382" spans="2:4" x14ac:dyDescent="0.2">
      <c r="B382" s="10"/>
      <c r="C382" s="1"/>
      <c r="D382" s="1"/>
    </row>
    <row r="383" spans="2:4" x14ac:dyDescent="0.2">
      <c r="B383" s="10"/>
      <c r="C383" s="1"/>
      <c r="D383" s="1"/>
    </row>
    <row r="384" spans="2:4" x14ac:dyDescent="0.2">
      <c r="B384" s="10"/>
      <c r="C384" s="1"/>
      <c r="D384" s="1"/>
    </row>
    <row r="385" spans="2:4" x14ac:dyDescent="0.2">
      <c r="B385" s="10"/>
      <c r="C385" s="1"/>
      <c r="D385" s="1"/>
    </row>
    <row r="386" spans="2:4" x14ac:dyDescent="0.2">
      <c r="B386" s="10"/>
      <c r="C386" s="1"/>
      <c r="D386" s="1"/>
    </row>
    <row r="387" spans="2:4" x14ac:dyDescent="0.2">
      <c r="B387" s="10"/>
      <c r="C387" s="1"/>
      <c r="D387" s="1"/>
    </row>
    <row r="388" spans="2:4" x14ac:dyDescent="0.2">
      <c r="B388" s="10"/>
      <c r="C388" s="1"/>
      <c r="D388" s="1"/>
    </row>
    <row r="389" spans="2:4" x14ac:dyDescent="0.2">
      <c r="B389" s="10"/>
      <c r="C389" s="1"/>
      <c r="D389" s="1"/>
    </row>
    <row r="390" spans="2:4" x14ac:dyDescent="0.2">
      <c r="B390" s="10"/>
      <c r="C390" s="1"/>
      <c r="D390" s="1"/>
    </row>
    <row r="391" spans="2:4" x14ac:dyDescent="0.2">
      <c r="B391" s="10"/>
      <c r="C391" s="1"/>
      <c r="D391" s="1"/>
    </row>
    <row r="392" spans="2:4" x14ac:dyDescent="0.2">
      <c r="B392" s="10"/>
      <c r="C392" s="1"/>
      <c r="D392" s="1"/>
    </row>
    <row r="393" spans="2:4" x14ac:dyDescent="0.2">
      <c r="B393" s="10"/>
      <c r="C393" s="1"/>
      <c r="D393" s="1"/>
    </row>
    <row r="394" spans="2:4" x14ac:dyDescent="0.2">
      <c r="B394" s="10"/>
      <c r="C394" s="1"/>
      <c r="D394" s="1"/>
    </row>
    <row r="395" spans="2:4" x14ac:dyDescent="0.2">
      <c r="B395" s="10"/>
      <c r="C395" s="1"/>
      <c r="D395" s="1"/>
    </row>
    <row r="396" spans="2:4" x14ac:dyDescent="0.2">
      <c r="B396" s="10"/>
      <c r="C396" s="1"/>
      <c r="D396" s="1"/>
    </row>
    <row r="397" spans="2:4" x14ac:dyDescent="0.2">
      <c r="B397" s="10"/>
      <c r="C397" s="1"/>
      <c r="D397" s="1"/>
    </row>
    <row r="398" spans="2:4" x14ac:dyDescent="0.2">
      <c r="B398" s="10"/>
      <c r="C398" s="1"/>
      <c r="D398" s="1"/>
    </row>
    <row r="399" spans="2:4" x14ac:dyDescent="0.2">
      <c r="B399" s="10"/>
      <c r="C399" s="1"/>
      <c r="D399" s="1"/>
    </row>
    <row r="400" spans="2:4" x14ac:dyDescent="0.2">
      <c r="B400" s="10"/>
      <c r="C400" s="1"/>
      <c r="D400" s="1"/>
    </row>
    <row r="401" spans="2:4" x14ac:dyDescent="0.2">
      <c r="B401" s="10"/>
      <c r="C401" s="1"/>
      <c r="D401" s="1"/>
    </row>
    <row r="402" spans="2:4" x14ac:dyDescent="0.2">
      <c r="B402" s="10"/>
      <c r="C402" s="1"/>
      <c r="D402" s="1"/>
    </row>
    <row r="403" spans="2:4" x14ac:dyDescent="0.2">
      <c r="B403" s="10"/>
      <c r="C403" s="1"/>
      <c r="D403" s="1"/>
    </row>
    <row r="404" spans="2:4" x14ac:dyDescent="0.2">
      <c r="B404" s="10"/>
      <c r="C404" s="1"/>
      <c r="D404" s="1"/>
    </row>
    <row r="405" spans="2:4" x14ac:dyDescent="0.2">
      <c r="B405" s="10"/>
      <c r="C405" s="1"/>
      <c r="D405" s="1"/>
    </row>
    <row r="406" spans="2:4" x14ac:dyDescent="0.2">
      <c r="B406" s="10"/>
      <c r="C406" s="1"/>
      <c r="D406" s="1"/>
    </row>
    <row r="407" spans="2:4" x14ac:dyDescent="0.2">
      <c r="B407" s="10"/>
      <c r="C407" s="1"/>
      <c r="D407" s="1"/>
    </row>
    <row r="408" spans="2:4" x14ac:dyDescent="0.2">
      <c r="B408" s="10"/>
      <c r="C408" s="1"/>
      <c r="D408" s="1"/>
    </row>
    <row r="409" spans="2:4" x14ac:dyDescent="0.2">
      <c r="B409" s="10"/>
      <c r="C409" s="1"/>
      <c r="D409" s="1"/>
    </row>
    <row r="410" spans="2:4" x14ac:dyDescent="0.2">
      <c r="B410" s="10"/>
      <c r="C410" s="1"/>
      <c r="D410" s="1"/>
    </row>
    <row r="411" spans="2:4" x14ac:dyDescent="0.2">
      <c r="B411" s="10"/>
      <c r="C411" s="1"/>
      <c r="D411" s="1"/>
    </row>
    <row r="412" spans="2:4" x14ac:dyDescent="0.2">
      <c r="B412" s="10"/>
      <c r="C412" s="1"/>
      <c r="D412" s="1"/>
    </row>
    <row r="413" spans="2:4" x14ac:dyDescent="0.2">
      <c r="B413" s="10"/>
      <c r="C413" s="1"/>
      <c r="D413" s="1"/>
    </row>
    <row r="414" spans="2:4" x14ac:dyDescent="0.2">
      <c r="B414" s="10"/>
      <c r="C414" s="1"/>
      <c r="D414" s="1"/>
    </row>
    <row r="415" spans="2:4" x14ac:dyDescent="0.2">
      <c r="B415" s="10"/>
      <c r="C415" s="1"/>
      <c r="D415" s="1"/>
    </row>
    <row r="416" spans="2:4" x14ac:dyDescent="0.2">
      <c r="B416" s="10"/>
      <c r="C416" s="1"/>
      <c r="D416" s="1"/>
    </row>
    <row r="417" spans="2:4" x14ac:dyDescent="0.2">
      <c r="B417" s="10"/>
      <c r="C417" s="1"/>
      <c r="D417" s="1"/>
    </row>
    <row r="418" spans="2:4" x14ac:dyDescent="0.2">
      <c r="B418" s="10"/>
      <c r="C418" s="1"/>
      <c r="D418" s="1"/>
    </row>
    <row r="419" spans="2:4" x14ac:dyDescent="0.2">
      <c r="B419" s="10"/>
      <c r="C419" s="1"/>
      <c r="D419" s="1"/>
    </row>
    <row r="420" spans="2:4" x14ac:dyDescent="0.2">
      <c r="B420" s="10"/>
      <c r="C420" s="1"/>
      <c r="D420" s="1"/>
    </row>
    <row r="421" spans="2:4" x14ac:dyDescent="0.2">
      <c r="B421" s="10"/>
      <c r="C421" s="1"/>
      <c r="D421" s="1"/>
    </row>
    <row r="422" spans="2:4" x14ac:dyDescent="0.2">
      <c r="B422" s="10"/>
      <c r="C422" s="1"/>
      <c r="D422" s="1"/>
    </row>
    <row r="423" spans="2:4" x14ac:dyDescent="0.2">
      <c r="B423" s="10"/>
      <c r="C423" s="1"/>
      <c r="D423" s="1"/>
    </row>
    <row r="424" spans="2:4" x14ac:dyDescent="0.2">
      <c r="B424" s="10"/>
      <c r="C424" s="1"/>
      <c r="D424" s="1"/>
    </row>
  </sheetData>
  <sheetProtection sheet="1" objects="1" scenarios="1"/>
  <mergeCells count="3">
    <mergeCell ref="B3:H3"/>
    <mergeCell ref="B2:H2"/>
    <mergeCell ref="E4:E34"/>
  </mergeCells>
  <phoneticPr fontId="0" type="noConversion"/>
  <pageMargins left="0.74803149606299213" right="0.74803149606299213" top="1.06" bottom="0.98425196850393704" header="0.51181102362204722" footer="0.51181102362204722"/>
  <pageSetup paperSize="256" orientation="portrait" horizontalDpi="4294967293" r:id="rId1"/>
  <headerFooter alignWithMargins="0">
    <oddHeader>&amp;L&amp;"Comic Sans MS,Standaard"&amp;8versie 6, maart 2014&amp;R&amp;"Comic Sans MS,Standaard"&amp;8svu/th/whp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L88"/>
  <sheetViews>
    <sheetView showZeros="0" workbookViewId="0">
      <selection activeCell="D39" sqref="D39"/>
    </sheetView>
  </sheetViews>
  <sheetFormatPr defaultRowHeight="15" x14ac:dyDescent="0.3"/>
  <cols>
    <col min="8" max="48" width="9.140625" style="2" customWidth="1"/>
    <col min="49" max="64" width="9.140625" style="1" customWidth="1"/>
  </cols>
  <sheetData>
    <row r="1" spans="1:64" ht="16.5" x14ac:dyDescent="0.35">
      <c r="A1" s="632" t="s">
        <v>54</v>
      </c>
      <c r="B1" s="632"/>
      <c r="C1" s="632"/>
      <c r="D1" s="632"/>
      <c r="E1" s="632"/>
      <c r="F1" s="632"/>
      <c r="H1" s="3" t="s">
        <v>55</v>
      </c>
      <c r="I1" s="39" t="s">
        <v>35</v>
      </c>
      <c r="J1" s="3"/>
      <c r="K1" s="3"/>
      <c r="L1" s="3"/>
      <c r="M1" s="3"/>
      <c r="N1" s="3"/>
      <c r="O1" s="3"/>
      <c r="P1" s="3"/>
      <c r="Q1" s="3"/>
      <c r="R1" s="3"/>
      <c r="S1" s="3"/>
      <c r="T1" s="3"/>
      <c r="U1" s="38"/>
      <c r="V1" s="39"/>
      <c r="W1" s="39"/>
      <c r="X1" s="39"/>
      <c r="Y1" s="3"/>
      <c r="Z1" s="39"/>
      <c r="AA1" s="11"/>
      <c r="AE1" s="3"/>
      <c r="AF1" s="3"/>
      <c r="AG1" s="3"/>
      <c r="AH1" s="3"/>
      <c r="AI1" s="3"/>
      <c r="AJ1" s="3"/>
      <c r="AK1" s="3"/>
      <c r="AL1" s="3"/>
      <c r="AM1" s="3"/>
      <c r="AN1" s="3"/>
      <c r="AO1" s="3"/>
      <c r="AP1" s="3"/>
      <c r="AQ1" s="3"/>
      <c r="AR1" s="3"/>
      <c r="AS1" s="3"/>
      <c r="AT1" s="3"/>
      <c r="AU1" s="3"/>
      <c r="AV1" s="3"/>
      <c r="AW1" s="4"/>
      <c r="AX1" s="4"/>
      <c r="AY1" s="4"/>
      <c r="AZ1" s="4"/>
      <c r="BA1" s="4"/>
      <c r="BB1" s="4"/>
      <c r="BC1" s="4"/>
      <c r="BD1" s="4"/>
      <c r="BE1" s="4"/>
      <c r="BF1" s="4"/>
      <c r="BG1" s="4"/>
      <c r="BH1" s="4"/>
      <c r="BI1" s="4"/>
      <c r="BJ1" s="4"/>
      <c r="BK1" s="4"/>
      <c r="BL1" s="4"/>
    </row>
    <row r="2" spans="1:64" ht="12.75" customHeight="1" x14ac:dyDescent="0.35">
      <c r="A2" s="633" t="s">
        <v>56</v>
      </c>
      <c r="B2" s="634" t="s">
        <v>57</v>
      </c>
      <c r="C2" s="634" t="s">
        <v>42</v>
      </c>
      <c r="D2" s="635" t="s">
        <v>58</v>
      </c>
      <c r="E2" s="635" t="s">
        <v>59</v>
      </c>
      <c r="F2" s="636"/>
      <c r="H2" s="3" t="s">
        <v>60</v>
      </c>
      <c r="I2" s="39" t="s">
        <v>61</v>
      </c>
      <c r="J2" s="3"/>
      <c r="K2" s="3"/>
      <c r="L2" s="3"/>
      <c r="M2" s="3"/>
      <c r="N2" s="3"/>
      <c r="O2" s="3"/>
      <c r="P2" s="3"/>
      <c r="Q2" s="3"/>
      <c r="R2" s="3"/>
      <c r="S2" s="3"/>
      <c r="T2" s="3"/>
      <c r="U2" s="38"/>
      <c r="V2" s="40"/>
      <c r="W2" s="40"/>
      <c r="X2" s="40"/>
      <c r="Y2" s="40"/>
      <c r="Z2" s="40"/>
      <c r="AA2" s="40"/>
      <c r="AB2" s="40"/>
      <c r="AC2" s="40"/>
      <c r="AD2" s="40"/>
      <c r="AE2" s="3"/>
      <c r="AF2" s="3"/>
      <c r="AG2" s="3"/>
      <c r="AH2" s="3"/>
      <c r="AI2" s="3"/>
      <c r="AJ2" s="3"/>
      <c r="AK2" s="3"/>
      <c r="AL2" s="3"/>
      <c r="AM2" s="3"/>
      <c r="AN2" s="3"/>
      <c r="AO2" s="3"/>
      <c r="AP2" s="3"/>
      <c r="AQ2" s="3"/>
      <c r="AR2" s="3"/>
      <c r="AS2" s="3"/>
      <c r="AT2" s="3"/>
      <c r="AU2" s="3"/>
      <c r="AV2" s="3"/>
      <c r="AW2" s="4"/>
      <c r="AX2" s="4"/>
      <c r="AY2" s="4"/>
      <c r="AZ2" s="4"/>
      <c r="BA2" s="4"/>
      <c r="BB2" s="4"/>
      <c r="BC2" s="4"/>
      <c r="BD2" s="4"/>
      <c r="BE2" s="4"/>
      <c r="BF2" s="4"/>
      <c r="BG2" s="4"/>
      <c r="BH2" s="4"/>
      <c r="BI2" s="4"/>
      <c r="BJ2" s="4"/>
      <c r="BK2" s="4"/>
      <c r="BL2" s="4"/>
    </row>
    <row r="3" spans="1:64" ht="16.5" x14ac:dyDescent="0.35">
      <c r="A3" s="633"/>
      <c r="B3" s="634"/>
      <c r="C3" s="634"/>
      <c r="D3" s="634"/>
      <c r="E3" s="634"/>
      <c r="F3" s="636"/>
      <c r="H3" s="3"/>
      <c r="I3" s="3" t="s">
        <v>62</v>
      </c>
      <c r="J3" s="3"/>
      <c r="K3" s="3"/>
      <c r="L3" s="3"/>
      <c r="M3" s="3"/>
      <c r="N3" s="3"/>
      <c r="O3" s="3"/>
      <c r="P3" s="3"/>
      <c r="Q3" s="3"/>
      <c r="R3" s="3"/>
      <c r="S3" s="3"/>
      <c r="T3" s="3"/>
      <c r="U3" s="41"/>
      <c r="V3" s="14"/>
      <c r="W3" s="14"/>
      <c r="X3" s="14"/>
      <c r="Y3" s="14"/>
      <c r="Z3" s="14"/>
      <c r="AB3" s="42"/>
      <c r="AC3" s="42"/>
      <c r="AD3" s="42"/>
      <c r="AE3" s="3"/>
      <c r="AF3" s="3"/>
      <c r="AG3" s="3"/>
      <c r="AH3" s="3"/>
      <c r="AI3" s="3"/>
      <c r="AJ3" s="3"/>
      <c r="AK3" s="3"/>
      <c r="AL3" s="3"/>
      <c r="AM3" s="3"/>
      <c r="AN3" s="3"/>
      <c r="AO3" s="3"/>
      <c r="AP3" s="3"/>
      <c r="AQ3" s="3"/>
      <c r="AR3" s="3"/>
      <c r="AS3" s="3"/>
      <c r="AT3" s="3"/>
      <c r="AU3" s="3"/>
      <c r="AV3" s="3"/>
      <c r="AW3" s="4"/>
      <c r="AX3" s="4"/>
      <c r="AY3" s="4"/>
      <c r="AZ3" s="4"/>
      <c r="BA3" s="4"/>
      <c r="BB3" s="4"/>
      <c r="BC3" s="4"/>
      <c r="BD3" s="4"/>
      <c r="BE3" s="4"/>
      <c r="BF3" s="4"/>
      <c r="BG3" s="4"/>
      <c r="BH3" s="4"/>
      <c r="BI3" s="4"/>
      <c r="BJ3" s="4"/>
      <c r="BK3" s="4"/>
      <c r="BL3" s="4"/>
    </row>
    <row r="4" spans="1:64" ht="15" customHeight="1" x14ac:dyDescent="0.35">
      <c r="A4" s="629">
        <f>'berekening Wort'!D52</f>
        <v>38</v>
      </c>
      <c r="B4" s="630">
        <f>'berekening Wort'!D53</f>
        <v>0</v>
      </c>
      <c r="C4" s="43" t="s">
        <v>63</v>
      </c>
      <c r="D4" s="44">
        <f>A4</f>
        <v>38</v>
      </c>
      <c r="E4" s="45">
        <v>0</v>
      </c>
      <c r="F4" s="631"/>
      <c r="H4" s="4"/>
      <c r="I4" s="4" t="s">
        <v>42</v>
      </c>
      <c r="J4" s="3"/>
      <c r="K4" s="3"/>
      <c r="L4" s="3"/>
      <c r="M4" s="3"/>
      <c r="N4" s="3"/>
      <c r="O4" s="3"/>
      <c r="P4" s="3"/>
      <c r="Q4" s="3"/>
      <c r="R4" s="3"/>
      <c r="S4" s="3"/>
      <c r="T4" s="3"/>
      <c r="U4" s="34"/>
      <c r="V4" s="42"/>
      <c r="W4" s="42"/>
      <c r="X4" s="42"/>
      <c r="Y4" s="42"/>
      <c r="Z4" s="42"/>
      <c r="AA4" s="42"/>
      <c r="AB4" s="42"/>
      <c r="AC4" s="42"/>
      <c r="AD4" s="42"/>
      <c r="AE4" s="3"/>
      <c r="AF4" s="3"/>
      <c r="AG4" s="3"/>
      <c r="AH4" s="3"/>
      <c r="AI4" s="3"/>
      <c r="AJ4" s="3"/>
      <c r="AK4" s="3"/>
      <c r="AL4" s="3"/>
      <c r="AM4" s="3"/>
      <c r="AN4" s="3"/>
      <c r="AO4" s="3"/>
      <c r="AP4" s="3"/>
      <c r="AQ4" s="3"/>
      <c r="AR4" s="3"/>
      <c r="AS4" s="3"/>
      <c r="AT4" s="3"/>
      <c r="AU4" s="3"/>
      <c r="AV4" s="3"/>
      <c r="AW4" s="4"/>
      <c r="AX4" s="4"/>
      <c r="AY4" s="4"/>
      <c r="AZ4" s="4"/>
      <c r="BA4" s="4"/>
      <c r="BB4" s="4"/>
      <c r="BC4" s="4"/>
      <c r="BD4" s="4"/>
      <c r="BE4" s="4"/>
      <c r="BF4" s="4"/>
      <c r="BG4" s="4"/>
      <c r="BH4" s="4"/>
      <c r="BI4" s="4"/>
      <c r="BJ4" s="4"/>
      <c r="BK4" s="4"/>
      <c r="BL4" s="4"/>
    </row>
    <row r="5" spans="1:64" ht="16.5" x14ac:dyDescent="0.35">
      <c r="A5" s="629"/>
      <c r="B5" s="630"/>
      <c r="C5" s="43" t="s">
        <v>64</v>
      </c>
      <c r="D5" s="46">
        <f>IF(A4="spoelen",A2-B4*'berekening Wort'!$H$57,IF(A4="koelen",A2-B4*'berekening Wort'!$H$58,A4))</f>
        <v>38</v>
      </c>
      <c r="E5" s="45">
        <f>E4+B4</f>
        <v>0</v>
      </c>
      <c r="F5" s="631"/>
      <c r="H5" s="4"/>
      <c r="I5" s="4"/>
      <c r="J5" s="3"/>
      <c r="K5" s="3"/>
      <c r="L5" s="3"/>
      <c r="M5" s="3"/>
      <c r="N5" s="3"/>
      <c r="O5" s="3"/>
      <c r="P5" s="3"/>
      <c r="Q5" s="3"/>
      <c r="R5" s="3"/>
      <c r="S5" s="3"/>
      <c r="T5" s="3"/>
      <c r="U5" s="34"/>
      <c r="V5" s="42"/>
      <c r="W5" s="42"/>
      <c r="X5" s="42"/>
      <c r="Y5" s="42"/>
      <c r="Z5" s="42"/>
      <c r="AA5" s="42"/>
      <c r="AB5" s="42"/>
      <c r="AC5" s="42"/>
      <c r="AD5" s="42"/>
      <c r="AE5" s="3"/>
      <c r="AF5" s="3"/>
      <c r="AG5" s="3"/>
      <c r="AH5" s="3"/>
      <c r="AI5" s="3"/>
      <c r="AJ5" s="3"/>
      <c r="AK5" s="3"/>
      <c r="AL5" s="3"/>
      <c r="AM5" s="3"/>
      <c r="AN5" s="3"/>
      <c r="AO5" s="3"/>
      <c r="AP5" s="3"/>
      <c r="AQ5" s="3"/>
      <c r="AR5" s="3"/>
      <c r="AS5" s="3"/>
      <c r="AT5" s="3"/>
      <c r="AU5" s="3"/>
      <c r="AV5" s="3"/>
      <c r="AW5" s="4"/>
      <c r="AX5" s="4"/>
      <c r="AY5" s="4"/>
      <c r="AZ5" s="4"/>
      <c r="BA5" s="4"/>
      <c r="BB5" s="4"/>
      <c r="BC5" s="4"/>
      <c r="BD5" s="4"/>
      <c r="BE5" s="4"/>
      <c r="BF5" s="4"/>
      <c r="BG5" s="4"/>
      <c r="BH5" s="4"/>
      <c r="BI5" s="4"/>
      <c r="BJ5" s="4"/>
      <c r="BK5" s="4"/>
      <c r="BL5" s="4"/>
    </row>
    <row r="6" spans="1:64" ht="15" customHeight="1" x14ac:dyDescent="0.35">
      <c r="A6" s="626">
        <f>'berekening Wort'!E52</f>
        <v>50</v>
      </c>
      <c r="B6" s="627">
        <f>'berekening Wort'!E53</f>
        <v>10</v>
      </c>
      <c r="C6" s="43" t="s">
        <v>63</v>
      </c>
      <c r="D6" s="44">
        <f>IF(A6&lt;200,A6,A4)</f>
        <v>50</v>
      </c>
      <c r="E6" s="45">
        <f>IF(D6&lt;=D5,E5,IF(D6&gt;D5,E5+((D6-D5)/'berekening Wort'!$H$56)))</f>
        <v>12</v>
      </c>
      <c r="F6" s="628"/>
      <c r="H6" s="4"/>
      <c r="I6" s="4"/>
      <c r="J6" s="3"/>
      <c r="K6" s="3"/>
      <c r="L6" s="3"/>
      <c r="M6" s="3"/>
      <c r="N6" s="3"/>
      <c r="O6" s="3"/>
      <c r="P6" s="3"/>
      <c r="Q6" s="3"/>
      <c r="R6" s="3"/>
      <c r="S6" s="3"/>
      <c r="T6" s="3"/>
      <c r="U6" s="34"/>
      <c r="V6" s="42"/>
      <c r="W6" s="42"/>
      <c r="X6" s="42"/>
      <c r="Y6" s="42"/>
      <c r="Z6" s="42"/>
      <c r="AA6" s="42"/>
      <c r="AB6" s="42"/>
      <c r="AC6" s="42"/>
      <c r="AD6" s="42"/>
      <c r="AE6" s="3"/>
      <c r="AF6" s="3"/>
      <c r="AG6" s="3"/>
      <c r="AH6" s="3"/>
      <c r="AI6" s="3"/>
      <c r="AJ6" s="3"/>
      <c r="AK6" s="3"/>
      <c r="AL6" s="3"/>
      <c r="AM6" s="3"/>
      <c r="AN6" s="3"/>
      <c r="AO6" s="3"/>
      <c r="AP6" s="3"/>
      <c r="AQ6" s="3"/>
      <c r="AR6" s="3"/>
      <c r="AS6" s="3"/>
      <c r="AT6" s="3"/>
      <c r="AU6" s="3"/>
      <c r="AV6" s="3"/>
      <c r="AW6" s="4"/>
      <c r="AX6" s="4"/>
      <c r="AY6" s="4"/>
      <c r="AZ6" s="4"/>
      <c r="BA6" s="4"/>
      <c r="BB6" s="4"/>
      <c r="BC6" s="4"/>
      <c r="BD6" s="4"/>
      <c r="BE6" s="4"/>
      <c r="BF6" s="4"/>
      <c r="BG6" s="4"/>
      <c r="BH6" s="4"/>
      <c r="BI6" s="4"/>
      <c r="BJ6" s="4"/>
      <c r="BK6" s="4"/>
      <c r="BL6" s="4"/>
    </row>
    <row r="7" spans="1:64" ht="15" customHeight="1" x14ac:dyDescent="0.35">
      <c r="A7" s="626"/>
      <c r="B7" s="627"/>
      <c r="C7" s="43" t="s">
        <v>64</v>
      </c>
      <c r="D7" s="46">
        <f>IF(A6="spoelen",A4-B6*'berekening Wort'!$H$57,IF(A6="koelen",A4-B6*'berekening Wort'!$H$58,A6))</f>
        <v>50</v>
      </c>
      <c r="E7" s="45">
        <f>E6+B6</f>
        <v>22</v>
      </c>
      <c r="F7" s="628"/>
      <c r="H7" s="3"/>
      <c r="I7" s="3"/>
      <c r="J7" s="47" t="s">
        <v>65</v>
      </c>
      <c r="K7" s="48">
        <f>(('berekening Wort'!G4-1000)-('berekening Wort'!F20+'berekening Wort'!F21+'berekening Wort'!F22))+1000</f>
        <v>1047.4868089125926</v>
      </c>
      <c r="L7" s="3"/>
      <c r="M7" s="49" t="s">
        <v>66</v>
      </c>
      <c r="N7" s="3"/>
      <c r="O7" s="3"/>
      <c r="P7" s="3"/>
      <c r="Q7" s="48">
        <f>ROUND((K7/10),0)*10</f>
        <v>1050</v>
      </c>
      <c r="R7" s="3"/>
      <c r="S7" s="3"/>
      <c r="T7" s="3"/>
      <c r="U7" s="34"/>
      <c r="V7" s="42"/>
      <c r="W7" s="42"/>
      <c r="X7" s="42"/>
      <c r="Y7" s="42"/>
      <c r="Z7" s="42"/>
      <c r="AA7" s="42"/>
      <c r="AB7" s="42"/>
      <c r="AC7" s="42"/>
      <c r="AD7" s="42"/>
      <c r="AE7" s="3"/>
      <c r="AF7" s="3"/>
      <c r="AG7" s="3"/>
      <c r="AH7" s="3"/>
      <c r="AI7" s="3"/>
      <c r="AJ7" s="3"/>
      <c r="AK7" s="3"/>
      <c r="AL7" s="3"/>
      <c r="AM7" s="3"/>
      <c r="AN7" s="3"/>
      <c r="AO7" s="3"/>
      <c r="AP7" s="3"/>
      <c r="AQ7" s="3"/>
      <c r="AR7" s="3"/>
      <c r="AS7" s="3"/>
      <c r="AT7" s="3"/>
      <c r="AU7" s="3"/>
      <c r="AV7" s="3"/>
      <c r="AW7" s="4"/>
      <c r="AX7" s="4"/>
      <c r="AY7" s="4"/>
      <c r="AZ7" s="4"/>
      <c r="BA7" s="4"/>
      <c r="BB7" s="4"/>
      <c r="BC7" s="4"/>
      <c r="BD7" s="4"/>
      <c r="BE7" s="4"/>
      <c r="BF7" s="4"/>
      <c r="BG7" s="4"/>
      <c r="BH7" s="4"/>
      <c r="BI7" s="4"/>
      <c r="BJ7" s="4"/>
      <c r="BK7" s="4"/>
      <c r="BL7" s="4"/>
    </row>
    <row r="8" spans="1:64" ht="15" customHeight="1" x14ac:dyDescent="0.35">
      <c r="A8" s="626">
        <f>'berekening Wort'!F52</f>
        <v>63</v>
      </c>
      <c r="B8" s="627">
        <f>'berekening Wort'!F53</f>
        <v>45</v>
      </c>
      <c r="C8" s="43" t="s">
        <v>63</v>
      </c>
      <c r="D8" s="44">
        <f>IF(A8&lt;200,A8,A6)</f>
        <v>63</v>
      </c>
      <c r="E8" s="45">
        <f>IF(D8&lt;=D7,E7,IF(D8&gt;D7,E7+((D8-D7)/'berekening Wort'!$H$56)))</f>
        <v>35</v>
      </c>
      <c r="F8" s="628"/>
      <c r="H8" s="11"/>
      <c r="I8" s="11"/>
      <c r="J8" s="11"/>
      <c r="K8" s="11"/>
      <c r="L8" s="11"/>
      <c r="M8" s="11"/>
      <c r="N8" s="11"/>
      <c r="O8" s="11"/>
      <c r="P8" s="11"/>
      <c r="Q8" s="11"/>
      <c r="R8" s="11"/>
      <c r="S8" s="11"/>
      <c r="T8" s="11"/>
      <c r="U8" s="50" t="s">
        <v>67</v>
      </c>
      <c r="V8" s="51" t="s">
        <v>68</v>
      </c>
      <c r="W8" s="51"/>
      <c r="X8" s="51"/>
      <c r="Y8" s="52"/>
      <c r="Z8" s="51"/>
      <c r="AA8" s="53"/>
      <c r="AB8" s="54"/>
      <c r="AC8" s="54"/>
      <c r="AD8" s="55"/>
      <c r="AE8" s="11"/>
      <c r="AF8" s="11"/>
      <c r="AG8" s="11"/>
      <c r="AH8" s="11"/>
      <c r="AI8" s="11"/>
      <c r="AJ8" s="11"/>
      <c r="AK8" s="11"/>
      <c r="AL8" s="3"/>
      <c r="AM8" s="11"/>
      <c r="AN8" s="11"/>
      <c r="AO8" s="11"/>
      <c r="AP8" s="11"/>
      <c r="AQ8" s="11"/>
      <c r="AR8" s="11"/>
      <c r="AS8" s="11"/>
      <c r="AT8" s="11"/>
      <c r="AU8" s="11"/>
      <c r="AV8" s="11"/>
      <c r="AW8" s="10"/>
      <c r="AX8" s="10"/>
      <c r="AY8" s="10"/>
      <c r="AZ8" s="10"/>
      <c r="BA8" s="10"/>
      <c r="BB8" s="10"/>
      <c r="BC8" s="10"/>
      <c r="BD8" s="10"/>
      <c r="BE8" s="10"/>
      <c r="BF8" s="10"/>
      <c r="BG8" s="10"/>
      <c r="BH8" s="10"/>
      <c r="BI8" s="10"/>
      <c r="BJ8" s="10"/>
      <c r="BK8" s="10"/>
      <c r="BL8" s="10"/>
    </row>
    <row r="9" spans="1:64" ht="15" customHeight="1" x14ac:dyDescent="0.35">
      <c r="A9" s="626"/>
      <c r="B9" s="627"/>
      <c r="C9" s="43" t="s">
        <v>64</v>
      </c>
      <c r="D9" s="46">
        <f>IF(A8="spoelen",A6-B8*'berekening Wort'!$H$57,IF(A8="koelen",A6-B8*'berekening Wort'!$H$58,A8))</f>
        <v>63</v>
      </c>
      <c r="E9" s="45">
        <f>E8+B8</f>
        <v>80</v>
      </c>
      <c r="F9" s="628"/>
      <c r="H9" s="3" t="s">
        <v>69</v>
      </c>
      <c r="I9" s="3" t="s">
        <v>70</v>
      </c>
      <c r="J9" s="3"/>
      <c r="K9" s="3" t="s">
        <v>71</v>
      </c>
      <c r="L9" s="3" t="s">
        <v>72</v>
      </c>
      <c r="M9" s="3" t="s">
        <v>67</v>
      </c>
      <c r="N9" s="3" t="s">
        <v>73</v>
      </c>
      <c r="O9" s="3"/>
      <c r="P9" s="3" t="s">
        <v>74</v>
      </c>
      <c r="Q9" s="3"/>
      <c r="R9" s="3"/>
      <c r="S9" s="3" t="s">
        <v>75</v>
      </c>
      <c r="U9" s="56" t="s">
        <v>76</v>
      </c>
      <c r="V9" s="57">
        <v>1030</v>
      </c>
      <c r="W9" s="57">
        <v>1040</v>
      </c>
      <c r="X9" s="57">
        <v>1050</v>
      </c>
      <c r="Y9" s="57">
        <v>1060</v>
      </c>
      <c r="Z9" s="57">
        <v>1070</v>
      </c>
      <c r="AA9" s="57">
        <v>1080</v>
      </c>
      <c r="AB9" s="57">
        <v>1090</v>
      </c>
      <c r="AC9" s="57">
        <v>1100</v>
      </c>
      <c r="AD9" s="58">
        <v>1110</v>
      </c>
      <c r="AL9" s="11"/>
    </row>
    <row r="10" spans="1:64" ht="15" customHeight="1" x14ac:dyDescent="0.35">
      <c r="A10" s="626">
        <f>'berekening Wort'!G52</f>
        <v>72</v>
      </c>
      <c r="B10" s="627">
        <f>'berekening Wort'!G53</f>
        <v>35</v>
      </c>
      <c r="C10" s="43" t="s">
        <v>63</v>
      </c>
      <c r="D10" s="44">
        <f>IF(A10&lt;200,A10,A8)</f>
        <v>72</v>
      </c>
      <c r="E10" s="45">
        <f>IF(D10&lt;=D9,E9,IF(D10&gt;D9,E9+((D10-D9)/'berekening Wort'!$H$56)))</f>
        <v>89</v>
      </c>
      <c r="F10" s="628"/>
      <c r="H10" s="59">
        <v>1</v>
      </c>
      <c r="I10" s="60">
        <f>L10*K10*N10</f>
        <v>12.145196153384425</v>
      </c>
      <c r="J10" s="61"/>
      <c r="K10" s="62">
        <f>'berekening Wort'!$D$27</f>
        <v>4</v>
      </c>
      <c r="L10" s="61">
        <f>(10/'berekening Wort'!$D$8)*'berekening Wort'!$A$27</f>
        <v>12.8</v>
      </c>
      <c r="M10" s="61">
        <f>'berekening Wort'!$E$27</f>
        <v>70</v>
      </c>
      <c r="N10" s="63">
        <f>VLOOKUP($Q$7,Q10:S18,3)</f>
        <v>0.23721086237078956</v>
      </c>
      <c r="O10" s="61"/>
      <c r="P10" s="59">
        <f t="shared" ref="P10:P18" si="0">M$10</f>
        <v>70</v>
      </c>
      <c r="Q10" s="61">
        <v>1030</v>
      </c>
      <c r="R10" s="61"/>
      <c r="S10" s="64">
        <f>-0.000000004160625*P10^4+0.000001400652572*P10^3-0.000181473605536*P10^2+0.011274897128777*P10+0.003458016386372</f>
        <v>0.28400737422036193</v>
      </c>
      <c r="U10" s="65">
        <v>0</v>
      </c>
      <c r="V10" s="42"/>
      <c r="W10" s="42">
        <v>0</v>
      </c>
      <c r="X10" s="42">
        <v>0</v>
      </c>
      <c r="Y10" s="42">
        <v>0</v>
      </c>
      <c r="Z10" s="42">
        <v>0</v>
      </c>
      <c r="AA10" s="42">
        <v>0</v>
      </c>
      <c r="AB10" s="42">
        <v>0</v>
      </c>
      <c r="AC10" s="42">
        <v>0</v>
      </c>
      <c r="AD10" s="66">
        <v>0</v>
      </c>
    </row>
    <row r="11" spans="1:64" ht="15" customHeight="1" x14ac:dyDescent="0.35">
      <c r="A11" s="626"/>
      <c r="B11" s="627"/>
      <c r="C11" s="43" t="s">
        <v>64</v>
      </c>
      <c r="D11" s="46">
        <f>IF(A10="spoelen",A8-B10*'berekening Wort'!$H$57,IF(A10="koelen",A8-B10*'berekening Wort'!$H$58,A10))</f>
        <v>72</v>
      </c>
      <c r="E11" s="45">
        <f>E10+B10</f>
        <v>124</v>
      </c>
      <c r="F11" s="628"/>
      <c r="H11" s="67"/>
      <c r="I11" s="3"/>
      <c r="J11" s="3"/>
      <c r="K11" s="3"/>
      <c r="L11" s="3"/>
      <c r="M11" s="3"/>
      <c r="N11" s="3"/>
      <c r="O11" s="3"/>
      <c r="P11" s="67">
        <f t="shared" si="0"/>
        <v>70</v>
      </c>
      <c r="Q11" s="3">
        <f t="shared" ref="Q11:Q18" si="1">Q10+10</f>
        <v>1040</v>
      </c>
      <c r="R11" s="3"/>
      <c r="S11" s="68">
        <f>-0.00000000404429*P11^4+0.000001339772834*P11^3-0.000170725602247*P11^2+0.010460178147039*P11+0.001506400549522</f>
        <v>0.25960209899395187</v>
      </c>
      <c r="U11" s="69">
        <v>3</v>
      </c>
      <c r="V11" s="70">
        <v>3.4000000000000002E-2</v>
      </c>
      <c r="W11" s="70">
        <v>3.1E-2</v>
      </c>
      <c r="X11" s="70">
        <v>2.9000000000000001E-2</v>
      </c>
      <c r="Y11" s="70">
        <v>2.6000000000000002E-2</v>
      </c>
      <c r="Z11" s="70">
        <v>2.4E-2</v>
      </c>
      <c r="AA11" s="70">
        <v>2.1999999999999999E-2</v>
      </c>
      <c r="AB11" s="70">
        <v>0.02</v>
      </c>
      <c r="AC11" s="70">
        <v>1.8000000000000002E-2</v>
      </c>
      <c r="AD11" s="71">
        <v>1.7000000000000001E-2</v>
      </c>
    </row>
    <row r="12" spans="1:64" ht="15" customHeight="1" x14ac:dyDescent="0.35">
      <c r="A12" s="626">
        <f>'berekening Wort'!H52</f>
        <v>78</v>
      </c>
      <c r="B12" s="627">
        <f>'berekening Wort'!H53</f>
        <v>1</v>
      </c>
      <c r="C12" s="43" t="s">
        <v>63</v>
      </c>
      <c r="D12" s="44">
        <f>IF(A12&lt;200,A12,"$#VERW!$#VERW!")</f>
        <v>78</v>
      </c>
      <c r="E12" s="45">
        <f>IF(D12&lt;=D11,E11,IF(D12&gt;D11,E11+((D12-D11)/'berekening Wort'!$H$56)))</f>
        <v>130</v>
      </c>
      <c r="F12" s="628"/>
      <c r="H12" s="67"/>
      <c r="I12" s="3"/>
      <c r="J12" s="3"/>
      <c r="K12" s="3"/>
      <c r="L12" s="3"/>
      <c r="M12" s="3"/>
      <c r="N12" s="3"/>
      <c r="O12" s="3"/>
      <c r="P12" s="67">
        <f t="shared" si="0"/>
        <v>70</v>
      </c>
      <c r="Q12" s="3">
        <f t="shared" si="1"/>
        <v>1050</v>
      </c>
      <c r="R12" s="3"/>
      <c r="S12" s="68">
        <f>-0.00000000370590974*P12^4+0.00000122828391004*P12^3-0.0001563391365506*P12^2+0.00956255390260585*P12+0.00157137</f>
        <v>0.23721086237078956</v>
      </c>
      <c r="U12" s="69">
        <f t="shared" ref="U12:U30" si="2">U11+3</f>
        <v>6</v>
      </c>
      <c r="V12" s="70">
        <v>6.5000000000000002E-2</v>
      </c>
      <c r="W12" s="70">
        <v>5.9000000000000004E-2</v>
      </c>
      <c r="X12" s="70">
        <v>5.3999999999999999E-2</v>
      </c>
      <c r="Y12" s="70">
        <v>4.9000000000000002E-2</v>
      </c>
      <c r="Z12" s="70">
        <v>4.4999999999999998E-2</v>
      </c>
      <c r="AA12" s="70">
        <v>4.1000000000000002E-2</v>
      </c>
      <c r="AB12" s="70">
        <v>3.7999999999999999E-2</v>
      </c>
      <c r="AC12" s="70">
        <v>3.5000000000000003E-2</v>
      </c>
      <c r="AD12" s="71">
        <v>3.2000000000000001E-2</v>
      </c>
    </row>
    <row r="13" spans="1:64" ht="15" customHeight="1" x14ac:dyDescent="0.35">
      <c r="A13" s="626"/>
      <c r="B13" s="627"/>
      <c r="C13" s="43" t="s">
        <v>64</v>
      </c>
      <c r="D13" s="46">
        <f>IF(A12="spoelen",A10-B12*'berekening Wort'!$H$57,IF(A12="koelen",A10-B12*'berekening Wort'!$H$58,A12))</f>
        <v>78</v>
      </c>
      <c r="E13" s="45">
        <f>E12+B12</f>
        <v>131</v>
      </c>
      <c r="F13" s="628"/>
      <c r="H13" s="67"/>
      <c r="I13" s="72"/>
      <c r="J13" s="3"/>
      <c r="K13" s="3"/>
      <c r="L13" s="3"/>
      <c r="M13" s="3"/>
      <c r="N13" s="3"/>
      <c r="O13" s="3"/>
      <c r="P13" s="67">
        <f t="shared" si="0"/>
        <v>70</v>
      </c>
      <c r="Q13" s="3">
        <f t="shared" si="1"/>
        <v>1060</v>
      </c>
      <c r="R13" s="3"/>
      <c r="S13" s="68">
        <f>-0.0000000033976765*P13^4+0.0000011250152533*P13^3-0.0001431864396158*P13^2+0.008759416332019*P13+0.001115038</f>
        <v>0.21696264624081008</v>
      </c>
      <c r="U13" s="69">
        <f t="shared" si="2"/>
        <v>9</v>
      </c>
      <c r="V13" s="70">
        <v>9.1999999999999998E-2</v>
      </c>
      <c r="W13" s="70">
        <v>8.4000000000000005E-2</v>
      </c>
      <c r="X13" s="70">
        <v>7.6999999999999999E-2</v>
      </c>
      <c r="Y13" s="70">
        <v>7.0000000000000007E-2</v>
      </c>
      <c r="Z13" s="70">
        <v>6.4000000000000001E-2</v>
      </c>
      <c r="AA13" s="70">
        <v>5.9000000000000004E-2</v>
      </c>
      <c r="AB13" s="70">
        <v>5.3999999999999999E-2</v>
      </c>
      <c r="AC13" s="70">
        <v>4.9000000000000002E-2</v>
      </c>
      <c r="AD13" s="71">
        <v>4.4999999999999998E-2</v>
      </c>
    </row>
    <row r="14" spans="1:64" ht="15" customHeight="1" x14ac:dyDescent="0.35">
      <c r="A14" s="620" t="str">
        <f>'berekening Wort'!I52</f>
        <v>spoelen</v>
      </c>
      <c r="B14" s="621">
        <f>'berekening Wort'!I53</f>
        <v>60</v>
      </c>
      <c r="C14" s="43" t="s">
        <v>63</v>
      </c>
      <c r="D14" s="44">
        <f>IF(A14&lt;200,A14,A12)</f>
        <v>78</v>
      </c>
      <c r="E14" s="45">
        <f>IF(D14&lt;=D13,E13,IF(D14&gt;D13,E13+((D14-D13)/'berekening Wort'!$H$56)))</f>
        <v>131</v>
      </c>
      <c r="F14" s="622"/>
      <c r="H14" s="67"/>
      <c r="I14" s="3"/>
      <c r="J14" s="3"/>
      <c r="K14" s="3"/>
      <c r="L14" s="3"/>
      <c r="M14" s="3"/>
      <c r="N14" s="3"/>
      <c r="O14" s="3"/>
      <c r="P14" s="67">
        <f t="shared" si="0"/>
        <v>70</v>
      </c>
      <c r="Q14" s="3">
        <f t="shared" si="1"/>
        <v>1070</v>
      </c>
      <c r="R14" s="3"/>
      <c r="S14" s="68">
        <f>-0.0000000030945005*P14^4+0.0000010249690135*P14^3-0.0001305179756368*P14^2+0.0079878274782061*P14+0.0012641886374256</f>
        <v>0.1981394461170326</v>
      </c>
      <c r="U14" s="69">
        <f t="shared" si="2"/>
        <v>12</v>
      </c>
      <c r="V14" s="70">
        <v>0.11600000000000001</v>
      </c>
      <c r="W14" s="70">
        <v>0.106</v>
      </c>
      <c r="X14" s="70">
        <v>9.7000000000000003E-2</v>
      </c>
      <c r="Y14" s="70">
        <v>8.7999999999999995E-2</v>
      </c>
      <c r="Z14" s="70">
        <v>8.1000000000000003E-2</v>
      </c>
      <c r="AA14" s="70">
        <v>7.3999999999999996E-2</v>
      </c>
      <c r="AB14" s="70">
        <v>6.8000000000000005E-2</v>
      </c>
      <c r="AC14" s="70">
        <v>6.2E-2</v>
      </c>
      <c r="AD14" s="71">
        <v>5.6000000000000001E-2</v>
      </c>
    </row>
    <row r="15" spans="1:64" ht="15" customHeight="1" x14ac:dyDescent="0.35">
      <c r="A15" s="620"/>
      <c r="B15" s="621"/>
      <c r="C15" s="43" t="s">
        <v>64</v>
      </c>
      <c r="D15" s="46">
        <f>IF(A14="spoelen",A12-B14*'berekening Wort'!$H$57,IF(A14="koelen",A12-B14*'berekening Wort'!$H$58,A14))</f>
        <v>66</v>
      </c>
      <c r="E15" s="45">
        <f>E14+B14</f>
        <v>191</v>
      </c>
      <c r="F15" s="622"/>
      <c r="H15" s="67"/>
      <c r="I15" s="3"/>
      <c r="J15" s="39"/>
      <c r="K15" s="3"/>
      <c r="L15" s="3"/>
      <c r="M15" s="3"/>
      <c r="N15" s="3"/>
      <c r="O15" s="3"/>
      <c r="P15" s="67">
        <f t="shared" si="0"/>
        <v>70</v>
      </c>
      <c r="Q15" s="3">
        <f t="shared" si="1"/>
        <v>1080</v>
      </c>
      <c r="R15" s="3"/>
      <c r="S15" s="68">
        <f>-0.0000000027738693*P15^4+0.0000009246851463*P15^3-0.0001185031570336*P15^2+0.0072869681745214*P15+0.0011774964971938</f>
        <v>0.18116620253695181</v>
      </c>
      <c r="U15" s="69">
        <f t="shared" si="2"/>
        <v>15</v>
      </c>
      <c r="V15" s="70">
        <v>0.13700000000000001</v>
      </c>
      <c r="W15" s="70">
        <v>0.125</v>
      </c>
      <c r="X15" s="70">
        <v>0.114</v>
      </c>
      <c r="Y15" s="70">
        <v>0.105</v>
      </c>
      <c r="Z15" s="70">
        <v>9.6000000000000002E-2</v>
      </c>
      <c r="AA15" s="70">
        <v>8.7000000000000008E-2</v>
      </c>
      <c r="AB15" s="70">
        <v>0.08</v>
      </c>
      <c r="AC15" s="70">
        <v>7.2999999999999995E-2</v>
      </c>
      <c r="AD15" s="71">
        <v>6.7000000000000004E-2</v>
      </c>
    </row>
    <row r="16" spans="1:64" ht="15" customHeight="1" x14ac:dyDescent="0.35">
      <c r="A16" s="620">
        <f>'berekening Wort'!J52</f>
        <v>100</v>
      </c>
      <c r="B16" s="621">
        <f>'berekening Wort'!J53</f>
        <v>70</v>
      </c>
      <c r="C16" s="43" t="s">
        <v>63</v>
      </c>
      <c r="D16" s="44">
        <f>IF(A16&lt;200,A16,A14)</f>
        <v>100</v>
      </c>
      <c r="E16" s="45">
        <f>IF(D16&lt;=D15,E15,IF(D16&gt;D15,E15+((D16-D15)/'berekening Wort'!$H$56)))</f>
        <v>225</v>
      </c>
      <c r="F16" s="622"/>
      <c r="H16" s="73"/>
      <c r="I16" s="11"/>
      <c r="J16" s="11"/>
      <c r="K16" s="11"/>
      <c r="L16" s="11"/>
      <c r="M16" s="11"/>
      <c r="N16" s="11"/>
      <c r="O16" s="11"/>
      <c r="P16" s="67">
        <f t="shared" si="0"/>
        <v>70</v>
      </c>
      <c r="Q16" s="3">
        <f t="shared" si="1"/>
        <v>1090</v>
      </c>
      <c r="R16" s="11"/>
      <c r="S16" s="68">
        <f>-0.000000002593425*P16^4+0.0000008603218391*P16^3-0.0001094739572688*P16^2+0.0066853898387198*P16+0.0011542244995715</f>
        <v>0.1655313791541376</v>
      </c>
      <c r="U16" s="69">
        <f t="shared" si="2"/>
        <v>18</v>
      </c>
      <c r="V16" s="70">
        <v>0.156</v>
      </c>
      <c r="W16" s="70">
        <v>0.14200000000000002</v>
      </c>
      <c r="X16" s="70">
        <v>0.13</v>
      </c>
      <c r="Y16" s="70">
        <v>0.11900000000000001</v>
      </c>
      <c r="Z16" s="70">
        <v>0.109</v>
      </c>
      <c r="AA16" s="70">
        <v>9.9000000000000005E-2</v>
      </c>
      <c r="AB16" s="70">
        <v>9.0999999999999998E-2</v>
      </c>
      <c r="AC16" s="70">
        <v>8.3000000000000004E-2</v>
      </c>
      <c r="AD16" s="71">
        <v>7.5999999999999998E-2</v>
      </c>
    </row>
    <row r="17" spans="1:64" ht="15" customHeight="1" x14ac:dyDescent="0.35">
      <c r="A17" s="620"/>
      <c r="B17" s="621"/>
      <c r="C17" s="43" t="s">
        <v>64</v>
      </c>
      <c r="D17" s="46">
        <f>IF(A16="spoelen",A14-B16*'berekening Wort'!$I$56,IF(A16="koelen",A14-B16*'berekening Wort'!$H$58,A16))</f>
        <v>100</v>
      </c>
      <c r="E17" s="45">
        <f>E16+B16</f>
        <v>295</v>
      </c>
      <c r="F17" s="622"/>
      <c r="H17" s="74"/>
      <c r="P17" s="67">
        <f t="shared" si="0"/>
        <v>70</v>
      </c>
      <c r="Q17" s="3">
        <f t="shared" si="1"/>
        <v>1100</v>
      </c>
      <c r="S17" s="68">
        <f>-0.0000000023310352*P17^4+0.0000007796431484*P17^3-0.00009982874040812*P17^2+0.0061134405825549*P17+0.0009272724785276</f>
        <v>0.15115673000678262</v>
      </c>
      <c r="U17" s="69">
        <f t="shared" si="2"/>
        <v>21</v>
      </c>
      <c r="V17" s="70">
        <v>0.17300000000000001</v>
      </c>
      <c r="W17" s="70">
        <v>0.158</v>
      </c>
      <c r="X17" s="70">
        <v>0.14400000000000002</v>
      </c>
      <c r="Y17" s="70">
        <v>0.13200000000000001</v>
      </c>
      <c r="Z17" s="70">
        <v>0.12</v>
      </c>
      <c r="AA17" s="70">
        <v>0.11</v>
      </c>
      <c r="AB17" s="70">
        <v>0.10100000000000001</v>
      </c>
      <c r="AC17" s="70">
        <v>9.1999999999999998E-2</v>
      </c>
      <c r="AD17" s="71">
        <v>8.4000000000000005E-2</v>
      </c>
    </row>
    <row r="18" spans="1:64" ht="15" customHeight="1" x14ac:dyDescent="0.35">
      <c r="A18" s="623" t="str">
        <f>'berekening Wort'!K52</f>
        <v>koelen</v>
      </c>
      <c r="B18" s="624">
        <f>(A16-20)/'berekening Wort'!H58</f>
        <v>40</v>
      </c>
      <c r="C18" s="43" t="s">
        <v>63</v>
      </c>
      <c r="D18" s="44">
        <f>IF(A18&lt;200,A18,A16)</f>
        <v>100</v>
      </c>
      <c r="E18" s="45">
        <f>IF(D18&lt;=D17,E17,IF(D18&gt;D17,E17+((D18-D17)/'berekening Wort'!$H$56)))</f>
        <v>295</v>
      </c>
      <c r="F18" s="625"/>
      <c r="H18" s="75"/>
      <c r="I18" s="76"/>
      <c r="J18" s="76"/>
      <c r="K18" s="76"/>
      <c r="L18" s="77"/>
      <c r="M18" s="77"/>
      <c r="N18" s="77"/>
      <c r="O18" s="76"/>
      <c r="P18" s="78">
        <f t="shared" si="0"/>
        <v>70</v>
      </c>
      <c r="Q18" s="79">
        <f t="shared" si="1"/>
        <v>1110</v>
      </c>
      <c r="R18" s="76"/>
      <c r="S18" s="80">
        <f>-0.0000000021340833*P18^4+0.0000007072585172*P18^3-0.0000902185753079*P18^2+0.0055434779001008*P18+0.0011692111538</f>
        <v>0.13849197651874603</v>
      </c>
      <c r="U18" s="69">
        <f t="shared" si="2"/>
        <v>24</v>
      </c>
      <c r="V18" s="70">
        <v>0.187</v>
      </c>
      <c r="W18" s="70">
        <v>0.17100000000000001</v>
      </c>
      <c r="X18" s="70">
        <v>0.157</v>
      </c>
      <c r="Y18" s="70">
        <v>0.14300000000000002</v>
      </c>
      <c r="Z18" s="70">
        <v>0.13100000000000001</v>
      </c>
      <c r="AA18" s="70">
        <v>0.12</v>
      </c>
      <c r="AB18" s="70">
        <v>0.109</v>
      </c>
      <c r="AC18" s="70">
        <v>0.1</v>
      </c>
      <c r="AD18" s="71">
        <v>9.0999999999999998E-2</v>
      </c>
    </row>
    <row r="19" spans="1:64" x14ac:dyDescent="0.3">
      <c r="A19" s="623"/>
      <c r="B19" s="624"/>
      <c r="C19" s="81" t="s">
        <v>64</v>
      </c>
      <c r="D19" s="161">
        <f>IF(A18="spoelen",A16-B18*'berekening Wort'!$I$56,IF(A18="koelen",A16-B18*'berekening Wort'!$H$58,A18))</f>
        <v>20</v>
      </c>
      <c r="E19" s="162">
        <f>E18+B18</f>
        <v>335</v>
      </c>
      <c r="F19" s="625"/>
      <c r="U19" s="69">
        <f t="shared" si="2"/>
        <v>27</v>
      </c>
      <c r="V19" s="70">
        <v>0.223</v>
      </c>
      <c r="W19" s="70">
        <v>0.20300000000000001</v>
      </c>
      <c r="X19" s="70">
        <v>0.186</v>
      </c>
      <c r="Y19" s="70">
        <v>0.17</v>
      </c>
      <c r="Z19" s="70">
        <v>0.155</v>
      </c>
      <c r="AA19" s="70">
        <v>0.14200000000000002</v>
      </c>
      <c r="AB19" s="70">
        <v>0.13</v>
      </c>
      <c r="AC19" s="70">
        <v>0.11900000000000001</v>
      </c>
      <c r="AD19" s="71">
        <v>0.108</v>
      </c>
    </row>
    <row r="20" spans="1:64" ht="16.5" x14ac:dyDescent="0.35">
      <c r="H20" s="59">
        <v>2</v>
      </c>
      <c r="I20" s="60">
        <f>L20*K20*N20</f>
        <v>8.7862903422140448</v>
      </c>
      <c r="J20" s="61"/>
      <c r="K20" s="62">
        <f>'berekening Wort'!$D$28</f>
        <v>4</v>
      </c>
      <c r="L20" s="61">
        <f>(10/'berekening Wort'!$D$8)*'berekening Wort'!$A$28</f>
        <v>9.26</v>
      </c>
      <c r="M20" s="61">
        <f>'berekening Wort'!$E$28</f>
        <v>70</v>
      </c>
      <c r="N20" s="63">
        <f>VLOOKUP($Q$7,Q20:S28,3)</f>
        <v>0.23721086237078956</v>
      </c>
      <c r="O20" s="61"/>
      <c r="P20" s="59">
        <f t="shared" ref="P20:P28" si="3">M$20</f>
        <v>70</v>
      </c>
      <c r="Q20" s="61">
        <v>1030</v>
      </c>
      <c r="R20" s="61"/>
      <c r="S20" s="64">
        <f>-0.000000004160625*P20^4+0.000001400652572*P20^3-0.000181473605536*P20^2+0.011274897128777*P20+0.003458016386372</f>
        <v>0.28400737422036193</v>
      </c>
      <c r="T20" s="39"/>
      <c r="U20" s="69">
        <f t="shared" si="2"/>
        <v>30</v>
      </c>
      <c r="V20" s="70">
        <v>0.23200000000000001</v>
      </c>
      <c r="W20" s="70">
        <v>0.21199999999999999</v>
      </c>
      <c r="X20" s="70">
        <v>0.19400000000000001</v>
      </c>
      <c r="Y20" s="70">
        <v>0.17699999999999999</v>
      </c>
      <c r="Z20" s="70">
        <v>0.16200000000000001</v>
      </c>
      <c r="AA20" s="70">
        <v>0.14799999999999999</v>
      </c>
      <c r="AB20" s="70">
        <v>0.13500000000000001</v>
      </c>
      <c r="AC20" s="70">
        <v>0.124</v>
      </c>
      <c r="AD20" s="71">
        <v>0.113</v>
      </c>
    </row>
    <row r="21" spans="1:64" ht="16.5" x14ac:dyDescent="0.35">
      <c r="H21" s="67"/>
      <c r="I21" s="3"/>
      <c r="J21" s="3"/>
      <c r="K21" s="3"/>
      <c r="L21" s="3"/>
      <c r="M21" s="3"/>
      <c r="N21" s="3"/>
      <c r="O21" s="3"/>
      <c r="P21" s="67">
        <f t="shared" si="3"/>
        <v>70</v>
      </c>
      <c r="Q21" s="3">
        <f t="shared" ref="Q21:Q28" si="4">Q20+10</f>
        <v>1040</v>
      </c>
      <c r="R21" s="3"/>
      <c r="S21" s="68">
        <f>-0.00000000404429*P21^4+0.000001339772834*P21^3-0.000170725602247*P21^2+0.010460178147039*P21+0.001506400549522</f>
        <v>0.25960209899395187</v>
      </c>
      <c r="T21" s="40"/>
      <c r="U21" s="69">
        <f t="shared" si="2"/>
        <v>33</v>
      </c>
      <c r="V21" s="70">
        <v>0.24</v>
      </c>
      <c r="W21" s="70">
        <v>0.219</v>
      </c>
      <c r="X21" s="70">
        <v>0.2</v>
      </c>
      <c r="Y21" s="70">
        <v>0.183</v>
      </c>
      <c r="Z21" s="70">
        <v>0.16700000000000001</v>
      </c>
      <c r="AA21" s="70">
        <v>0.153</v>
      </c>
      <c r="AB21" s="70">
        <v>0.14000000000000001</v>
      </c>
      <c r="AC21" s="70">
        <v>0.128</v>
      </c>
      <c r="AD21" s="71">
        <v>0.11700000000000001</v>
      </c>
    </row>
    <row r="22" spans="1:64" ht="16.5" x14ac:dyDescent="0.35">
      <c r="H22" s="67"/>
      <c r="I22" s="3"/>
      <c r="J22" s="3"/>
      <c r="K22" s="3"/>
      <c r="L22" s="3"/>
      <c r="M22" s="3"/>
      <c r="N22" s="3"/>
      <c r="O22" s="3"/>
      <c r="P22" s="67">
        <f t="shared" si="3"/>
        <v>70</v>
      </c>
      <c r="Q22" s="3">
        <f t="shared" si="4"/>
        <v>1050</v>
      </c>
      <c r="R22" s="3"/>
      <c r="S22" s="68">
        <f>-0.00000000370590974*P22^4+0.00000122828391004*P22^3-0.0001563391365506*P22^2+0.00956255390260585*P22+0.00157137</f>
        <v>0.23721086237078956</v>
      </c>
      <c r="T22" s="14"/>
      <c r="U22" s="69">
        <f t="shared" si="2"/>
        <v>36</v>
      </c>
      <c r="V22" s="70">
        <v>0.247</v>
      </c>
      <c r="W22" s="70">
        <v>0.22600000000000001</v>
      </c>
      <c r="X22" s="70">
        <v>0.20600000000000002</v>
      </c>
      <c r="Y22" s="70">
        <v>0.189</v>
      </c>
      <c r="Z22" s="70">
        <v>0.17200000000000001</v>
      </c>
      <c r="AA22" s="70">
        <v>0.158</v>
      </c>
      <c r="AB22" s="70">
        <v>0.14400000000000002</v>
      </c>
      <c r="AC22" s="70">
        <v>0.13200000000000001</v>
      </c>
      <c r="AD22" s="71">
        <v>0.12</v>
      </c>
    </row>
    <row r="23" spans="1:64" ht="16.5" x14ac:dyDescent="0.35">
      <c r="H23" s="67"/>
      <c r="I23" s="72"/>
      <c r="J23" s="3"/>
      <c r="K23" s="3"/>
      <c r="L23" s="3"/>
      <c r="M23" s="3"/>
      <c r="N23" s="3"/>
      <c r="O23" s="3"/>
      <c r="P23" s="67">
        <f t="shared" si="3"/>
        <v>70</v>
      </c>
      <c r="Q23" s="3">
        <f t="shared" si="4"/>
        <v>1060</v>
      </c>
      <c r="R23" s="3"/>
      <c r="S23" s="68">
        <f>-0.0000000033976765*P23^4+0.0000011250152533*P23^3-0.0001431864396158*P23^2+0.008759416332019*P23+0.001115038</f>
        <v>0.21696264624081008</v>
      </c>
      <c r="T23" s="42"/>
      <c r="U23" s="69">
        <f t="shared" si="2"/>
        <v>39</v>
      </c>
      <c r="V23" s="70">
        <v>0.253</v>
      </c>
      <c r="W23" s="70">
        <v>0.23200000000000001</v>
      </c>
      <c r="X23" s="70">
        <v>0.21199999999999999</v>
      </c>
      <c r="Y23" s="70">
        <v>0.19400000000000001</v>
      </c>
      <c r="Z23" s="70">
        <v>0.17699999999999999</v>
      </c>
      <c r="AA23" s="70">
        <v>0.16200000000000001</v>
      </c>
      <c r="AB23" s="70">
        <v>0.14799999999999999</v>
      </c>
      <c r="AC23" s="70">
        <v>0.13500000000000001</v>
      </c>
      <c r="AD23" s="71">
        <v>0.123</v>
      </c>
    </row>
    <row r="24" spans="1:64" ht="16.5" x14ac:dyDescent="0.35">
      <c r="H24" s="67"/>
      <c r="I24" s="3"/>
      <c r="J24" s="3"/>
      <c r="K24" s="3"/>
      <c r="L24" s="3"/>
      <c r="M24" s="3"/>
      <c r="N24" s="3"/>
      <c r="O24" s="3"/>
      <c r="P24" s="67">
        <f t="shared" si="3"/>
        <v>70</v>
      </c>
      <c r="Q24" s="3">
        <f t="shared" si="4"/>
        <v>1070</v>
      </c>
      <c r="R24" s="3"/>
      <c r="S24" s="68">
        <f>-0.0000000030945005*P24^4+0.0000010249690135*P24^3-0.0001305179756368*P24^2+0.0079878274782061*P24+0.0012641886374256</f>
        <v>0.1981394461170326</v>
      </c>
      <c r="T24" s="42"/>
      <c r="U24" s="69">
        <f t="shared" si="2"/>
        <v>42</v>
      </c>
      <c r="V24" s="70">
        <v>0.25900000000000001</v>
      </c>
      <c r="W24" s="70">
        <v>0.23700000000000002</v>
      </c>
      <c r="X24" s="70">
        <v>0.216</v>
      </c>
      <c r="Y24" s="70">
        <v>0.19800000000000001</v>
      </c>
      <c r="Z24" s="70">
        <v>0.18099999999999999</v>
      </c>
      <c r="AA24" s="70">
        <v>0.16500000000000001</v>
      </c>
      <c r="AB24" s="70">
        <v>0.151</v>
      </c>
      <c r="AC24" s="70">
        <v>0.13800000000000001</v>
      </c>
      <c r="AD24" s="71">
        <v>0.126</v>
      </c>
    </row>
    <row r="25" spans="1:64" ht="16.5" x14ac:dyDescent="0.35">
      <c r="H25" s="67"/>
      <c r="I25" s="3"/>
      <c r="J25" s="39"/>
      <c r="K25" s="3"/>
      <c r="L25" s="3"/>
      <c r="M25" s="3"/>
      <c r="N25" s="3"/>
      <c r="O25" s="3"/>
      <c r="P25" s="67">
        <f t="shared" si="3"/>
        <v>70</v>
      </c>
      <c r="Q25" s="3">
        <f t="shared" si="4"/>
        <v>1080</v>
      </c>
      <c r="R25" s="3"/>
      <c r="S25" s="68">
        <f>-0.0000000027738693*P25^4+0.0000009246851463*P25^3-0.0001185031570336*P25^2+0.0072869681745214*P25+0.0011774964971938</f>
        <v>0.18116620253695181</v>
      </c>
      <c r="T25" s="42"/>
      <c r="U25" s="69">
        <f t="shared" si="2"/>
        <v>45</v>
      </c>
      <c r="V25" s="70">
        <v>0.26400000000000001</v>
      </c>
      <c r="W25" s="70">
        <v>0.24099999999999999</v>
      </c>
      <c r="X25" s="70">
        <v>0.221</v>
      </c>
      <c r="Y25" s="70">
        <v>0.20200000000000001</v>
      </c>
      <c r="Z25" s="70">
        <v>0.184</v>
      </c>
      <c r="AA25" s="70">
        <v>0.16900000000000001</v>
      </c>
      <c r="AB25" s="70">
        <v>0.154</v>
      </c>
      <c r="AC25" s="70">
        <v>0.14100000000000001</v>
      </c>
      <c r="AD25" s="71">
        <v>0.129</v>
      </c>
      <c r="AW25" s="29"/>
      <c r="AX25" s="29"/>
      <c r="AY25" s="29"/>
      <c r="AZ25" s="29"/>
      <c r="BA25" s="29"/>
      <c r="BB25" s="29"/>
      <c r="BC25" s="29"/>
      <c r="BD25" s="29"/>
      <c r="BE25" s="29"/>
      <c r="BF25" s="29"/>
      <c r="BG25" s="29" t="s">
        <v>67</v>
      </c>
      <c r="BH25" s="29"/>
      <c r="BI25" s="29"/>
      <c r="BJ25" s="29"/>
      <c r="BK25" s="29"/>
      <c r="BL25" s="29"/>
    </row>
    <row r="26" spans="1:64" ht="16.5" x14ac:dyDescent="0.35">
      <c r="H26" s="73"/>
      <c r="I26" s="11"/>
      <c r="J26" s="11"/>
      <c r="K26" s="11"/>
      <c r="L26" s="11"/>
      <c r="M26" s="11"/>
      <c r="N26" s="11"/>
      <c r="O26" s="11"/>
      <c r="P26" s="67">
        <f t="shared" si="3"/>
        <v>70</v>
      </c>
      <c r="Q26" s="3">
        <f t="shared" si="4"/>
        <v>1090</v>
      </c>
      <c r="R26" s="11"/>
      <c r="S26" s="68">
        <f>-0.000000002593425*P26^4+0.0000008603218391*P26^3-0.0001094739572688*P26^2+0.0066853898387198*P26+0.0011542244995715</f>
        <v>0.1655313791541376</v>
      </c>
      <c r="T26" s="42"/>
      <c r="U26" s="69">
        <f t="shared" si="2"/>
        <v>48</v>
      </c>
      <c r="V26" s="70">
        <v>0.26900000000000002</v>
      </c>
      <c r="W26" s="70">
        <v>0.245</v>
      </c>
      <c r="X26" s="70">
        <v>0.22600000000000001</v>
      </c>
      <c r="Y26" s="70">
        <v>0.20600000000000002</v>
      </c>
      <c r="Z26" s="70">
        <v>0.187</v>
      </c>
      <c r="AA26" s="70">
        <v>0.17300000000000001</v>
      </c>
      <c r="AB26" s="70">
        <v>0.157</v>
      </c>
      <c r="AC26" s="70">
        <v>0.14400000000000002</v>
      </c>
      <c r="AD26" s="71">
        <v>0.13200000000000001</v>
      </c>
      <c r="AW26" s="29"/>
      <c r="AX26" s="29"/>
      <c r="AY26" s="29"/>
      <c r="AZ26" s="29"/>
      <c r="BA26" s="29"/>
      <c r="BB26" s="29"/>
      <c r="BC26" s="29"/>
      <c r="BD26" s="29"/>
      <c r="BE26" s="29"/>
      <c r="BF26" s="29"/>
      <c r="BG26" s="29"/>
      <c r="BH26" s="29"/>
      <c r="BI26" s="29"/>
      <c r="BJ26" s="29"/>
      <c r="BK26" s="29"/>
      <c r="BL26" s="29"/>
    </row>
    <row r="27" spans="1:64" ht="16.5" x14ac:dyDescent="0.35">
      <c r="H27" s="74"/>
      <c r="P27" s="67">
        <f t="shared" si="3"/>
        <v>70</v>
      </c>
      <c r="Q27" s="3">
        <f t="shared" si="4"/>
        <v>1100</v>
      </c>
      <c r="S27" s="68">
        <f>-0.0000000023310352*P27^4+0.0000007796431484*P27^3-0.00009982874040812*P27^2+0.0061134405825549*P27+0.0009272724785276</f>
        <v>0.15115673000678262</v>
      </c>
      <c r="T27" s="42"/>
      <c r="U27" s="69">
        <f t="shared" si="2"/>
        <v>51</v>
      </c>
      <c r="V27" s="70">
        <v>0.26900000000000002</v>
      </c>
      <c r="W27" s="70">
        <v>0.246</v>
      </c>
      <c r="X27" s="70">
        <v>0.224</v>
      </c>
      <c r="Y27" s="70">
        <v>0.20499999999999999</v>
      </c>
      <c r="Z27" s="70">
        <v>0.188</v>
      </c>
      <c r="AA27" s="70">
        <v>0.17100000000000001</v>
      </c>
      <c r="AB27" s="70">
        <v>0.157</v>
      </c>
      <c r="AC27" s="70">
        <v>0.14300000000000002</v>
      </c>
      <c r="AD27" s="71">
        <v>0.13100000000000001</v>
      </c>
      <c r="BG27" s="1" t="s">
        <v>77</v>
      </c>
    </row>
    <row r="28" spans="1:64" ht="16.5" x14ac:dyDescent="0.35">
      <c r="H28" s="75"/>
      <c r="I28" s="76"/>
      <c r="J28" s="76"/>
      <c r="K28" s="76"/>
      <c r="L28" s="77"/>
      <c r="M28" s="77"/>
      <c r="N28" s="77"/>
      <c r="O28" s="76"/>
      <c r="P28" s="78">
        <f t="shared" si="3"/>
        <v>70</v>
      </c>
      <c r="Q28" s="79">
        <f t="shared" si="4"/>
        <v>1110</v>
      </c>
      <c r="R28" s="76"/>
      <c r="S28" s="80">
        <f>-0.0000000021340833*P28^4+0.0000007072585172*P28^3-0.0000902185753079*P28^2+0.0055434779001008*P28+0.0011692111538</f>
        <v>0.13849197651874603</v>
      </c>
      <c r="T28" s="42"/>
      <c r="U28" s="69">
        <f t="shared" si="2"/>
        <v>54</v>
      </c>
      <c r="V28" s="70">
        <v>0.27300000000000002</v>
      </c>
      <c r="W28" s="70">
        <v>0.249</v>
      </c>
      <c r="X28" s="70">
        <v>0.22800000000000001</v>
      </c>
      <c r="Y28" s="70">
        <v>0.20800000000000002</v>
      </c>
      <c r="Z28" s="70">
        <v>0.19</v>
      </c>
      <c r="AA28" s="70">
        <v>0.17400000000000002</v>
      </c>
      <c r="AB28" s="70">
        <v>0.159</v>
      </c>
      <c r="AC28" s="70">
        <v>0.14499999999999999</v>
      </c>
      <c r="AD28" s="71">
        <v>0.13300000000000001</v>
      </c>
      <c r="BG28" s="1">
        <v>121</v>
      </c>
    </row>
    <row r="29" spans="1:64" ht="16.5" x14ac:dyDescent="0.35">
      <c r="L29" s="42"/>
      <c r="M29" s="42"/>
      <c r="N29" s="14"/>
      <c r="P29" s="38"/>
      <c r="Q29" s="39"/>
      <c r="R29" s="39"/>
      <c r="S29" s="39"/>
      <c r="T29" s="42"/>
      <c r="U29" s="69">
        <f t="shared" si="2"/>
        <v>57</v>
      </c>
      <c r="V29" s="70">
        <v>0.27700000000000002</v>
      </c>
      <c r="W29" s="70">
        <v>0.252</v>
      </c>
      <c r="X29" s="70">
        <v>0.23200000000000001</v>
      </c>
      <c r="Y29" s="70">
        <v>0.21099999999999999</v>
      </c>
      <c r="Z29" s="70">
        <v>0.192</v>
      </c>
      <c r="AA29" s="70">
        <v>0.17699999999999999</v>
      </c>
      <c r="AB29" s="70">
        <v>0.161</v>
      </c>
      <c r="AC29" s="70">
        <v>0.14699999999999999</v>
      </c>
      <c r="AD29" s="71">
        <v>0.13500000000000001</v>
      </c>
      <c r="BH29" s="82" t="s">
        <v>78</v>
      </c>
      <c r="BI29" s="82" t="s">
        <v>79</v>
      </c>
    </row>
    <row r="30" spans="1:64" ht="16.5" x14ac:dyDescent="0.35">
      <c r="H30" s="59">
        <v>3</v>
      </c>
      <c r="I30" s="60">
        <f>L30*K30*N30</f>
        <v>5.3135233171056857</v>
      </c>
      <c r="J30" s="61"/>
      <c r="K30" s="62">
        <f>'berekening Wort'!$D$29</f>
        <v>2.8</v>
      </c>
      <c r="L30" s="61">
        <f>(10/'berekening Wort'!$D$8)*'berekening Wort'!$A$29</f>
        <v>8</v>
      </c>
      <c r="M30" s="61">
        <f>'berekening Wort'!$E$29</f>
        <v>70</v>
      </c>
      <c r="N30" s="63">
        <f>VLOOKUP($Q$7,Q30:S38,3)</f>
        <v>0.23721086237078956</v>
      </c>
      <c r="O30" s="61"/>
      <c r="P30" s="59">
        <f t="shared" ref="P30:P38" si="5">M$30</f>
        <v>70</v>
      </c>
      <c r="Q30" s="61">
        <v>1030</v>
      </c>
      <c r="R30" s="61"/>
      <c r="S30" s="64">
        <f>-0.000000004160625*P30^4+0.000001400652572*P30^3-0.000181473605536*P30^2+0.011274897128777*P30+0.003458016386372</f>
        <v>0.28400737422036193</v>
      </c>
      <c r="T30" s="42"/>
      <c r="U30" s="69">
        <f t="shared" si="2"/>
        <v>60</v>
      </c>
      <c r="V30" s="70">
        <v>0.28100000000000003</v>
      </c>
      <c r="W30" s="70">
        <v>0.255</v>
      </c>
      <c r="X30" s="70">
        <v>0.23600000000000002</v>
      </c>
      <c r="Y30" s="70">
        <v>0.214</v>
      </c>
      <c r="Z30" s="70">
        <v>0.19400000000000001</v>
      </c>
      <c r="AA30" s="70">
        <v>0.18</v>
      </c>
      <c r="AB30" s="70">
        <v>0.16300000000000001</v>
      </c>
      <c r="AC30" s="70">
        <v>0.14899999999999999</v>
      </c>
      <c r="AD30" s="71">
        <v>0.13700000000000001</v>
      </c>
      <c r="BH30" s="82"/>
      <c r="BI30" s="82"/>
    </row>
    <row r="31" spans="1:64" ht="16.5" x14ac:dyDescent="0.35">
      <c r="H31" s="67"/>
      <c r="I31" s="3"/>
      <c r="J31" s="3"/>
      <c r="K31" s="3"/>
      <c r="L31" s="3"/>
      <c r="M31" s="3"/>
      <c r="N31" s="3"/>
      <c r="O31" s="3"/>
      <c r="P31" s="67">
        <f t="shared" si="5"/>
        <v>70</v>
      </c>
      <c r="Q31" s="3">
        <f t="shared" ref="Q31:Q38" si="6">Q30+10</f>
        <v>1040</v>
      </c>
      <c r="R31" s="3"/>
      <c r="S31" s="68">
        <f>-0.00000000404429*P31^4+0.000001339772834*P31^3-0.000170725602247*P31^2+0.010460178147039*P31+0.001506400549522</f>
        <v>0.25960209899395187</v>
      </c>
      <c r="T31" s="42"/>
      <c r="U31" s="69">
        <v>70</v>
      </c>
      <c r="V31" s="70">
        <v>0.28499999999999998</v>
      </c>
      <c r="W31" s="70">
        <v>0.26100000000000001</v>
      </c>
      <c r="X31" s="70">
        <v>0.23800000000000002</v>
      </c>
      <c r="Y31" s="70">
        <v>0.218</v>
      </c>
      <c r="Z31" s="70">
        <v>0.19900000000000001</v>
      </c>
      <c r="AA31" s="70">
        <v>0.182</v>
      </c>
      <c r="AB31" s="70">
        <v>0.16600000000000001</v>
      </c>
      <c r="AC31" s="70">
        <v>0.152</v>
      </c>
      <c r="AD31" s="71">
        <v>0.13900000000000001</v>
      </c>
      <c r="BF31" s="1">
        <f t="shared" ref="BF31:BF43" si="7">$BG$28-BG31</f>
        <v>1</v>
      </c>
      <c r="BG31" s="1">
        <v>120</v>
      </c>
      <c r="BH31" s="1">
        <v>0.3</v>
      </c>
      <c r="BI31" s="1">
        <v>0.2</v>
      </c>
    </row>
    <row r="32" spans="1:64" ht="16.5" x14ac:dyDescent="0.35">
      <c r="H32" s="67"/>
      <c r="I32" s="3"/>
      <c r="J32" s="3"/>
      <c r="K32" s="3"/>
      <c r="L32" s="3"/>
      <c r="M32" s="3"/>
      <c r="N32" s="3"/>
      <c r="O32" s="3"/>
      <c r="P32" s="67">
        <f t="shared" si="5"/>
        <v>70</v>
      </c>
      <c r="Q32" s="3">
        <f t="shared" si="6"/>
        <v>1050</v>
      </c>
      <c r="R32" s="3"/>
      <c r="S32" s="68">
        <f>-0.00000000370590974*P32^4+0.00000122828391004*P32^3-0.0001563391365506*P32^2+0.00956255390260585*P32+0.00157137</f>
        <v>0.23721086237078956</v>
      </c>
      <c r="T32" s="42"/>
      <c r="U32" s="69">
        <v>80</v>
      </c>
      <c r="V32" s="70">
        <v>0.29099999999999998</v>
      </c>
      <c r="W32" s="70">
        <v>0.26600000000000001</v>
      </c>
      <c r="X32" s="70">
        <v>0.24299999999999999</v>
      </c>
      <c r="Y32" s="70">
        <v>0.222</v>
      </c>
      <c r="Z32" s="70">
        <v>0.20300000000000001</v>
      </c>
      <c r="AA32" s="70">
        <v>0.186</v>
      </c>
      <c r="AB32" s="70">
        <v>0.17</v>
      </c>
      <c r="AC32" s="70">
        <v>0.155</v>
      </c>
      <c r="AD32" s="71">
        <v>0.14200000000000002</v>
      </c>
      <c r="BF32" s="1">
        <f t="shared" si="7"/>
        <v>4</v>
      </c>
      <c r="BG32" s="1">
        <v>117</v>
      </c>
      <c r="BH32" s="1">
        <v>1.1000000000000001</v>
      </c>
      <c r="BI32" s="1">
        <v>0.8</v>
      </c>
    </row>
    <row r="33" spans="8:61" ht="16.5" x14ac:dyDescent="0.35">
      <c r="H33" s="67"/>
      <c r="I33" s="72"/>
      <c r="J33" s="3"/>
      <c r="K33" s="3"/>
      <c r="L33" s="3"/>
      <c r="M33" s="3"/>
      <c r="N33" s="3"/>
      <c r="O33" s="3"/>
      <c r="P33" s="67">
        <f t="shared" si="5"/>
        <v>70</v>
      </c>
      <c r="Q33" s="3">
        <f t="shared" si="6"/>
        <v>1060</v>
      </c>
      <c r="R33" s="3"/>
      <c r="S33" s="68">
        <f>-0.0000000033976765*P33^4+0.0000011250152533*P33^3-0.0001431864396158*P33^2+0.008759416332019*P33+0.001115038</f>
        <v>0.21696264624081008</v>
      </c>
      <c r="T33" s="42"/>
      <c r="U33" s="69">
        <v>90</v>
      </c>
      <c r="V33" s="70">
        <v>0.29499999999999998</v>
      </c>
      <c r="W33" s="70">
        <v>0.27</v>
      </c>
      <c r="X33" s="70">
        <v>0.247</v>
      </c>
      <c r="Y33" s="70">
        <v>0.22600000000000001</v>
      </c>
      <c r="Z33" s="70">
        <v>0.20600000000000002</v>
      </c>
      <c r="AA33" s="70">
        <v>0.188</v>
      </c>
      <c r="AB33" s="70">
        <v>0.17200000000000001</v>
      </c>
      <c r="AC33" s="70">
        <v>0.157</v>
      </c>
      <c r="AD33" s="71">
        <v>0.14400000000000002</v>
      </c>
      <c r="BF33" s="1">
        <f t="shared" si="7"/>
        <v>6</v>
      </c>
      <c r="BG33" s="1">
        <v>115</v>
      </c>
      <c r="BH33" s="1">
        <v>1.7</v>
      </c>
      <c r="BI33" s="1">
        <v>1.2</v>
      </c>
    </row>
    <row r="34" spans="8:61" ht="16.5" x14ac:dyDescent="0.35">
      <c r="H34" s="67"/>
      <c r="I34" s="3"/>
      <c r="J34" s="3"/>
      <c r="K34" s="3"/>
      <c r="L34" s="3"/>
      <c r="M34" s="3"/>
      <c r="N34" s="3"/>
      <c r="O34" s="3"/>
      <c r="P34" s="67">
        <f t="shared" si="5"/>
        <v>70</v>
      </c>
      <c r="Q34" s="3">
        <f t="shared" si="6"/>
        <v>1070</v>
      </c>
      <c r="R34" s="3"/>
      <c r="S34" s="68">
        <f>-0.0000000030945005*P34^4+0.0000010249690135*P34^3-0.0001305179756368*P34^2+0.0079878274782061*P34+0.0012641886374256</f>
        <v>0.1981394461170326</v>
      </c>
      <c r="T34" s="42"/>
      <c r="U34" s="83">
        <v>120</v>
      </c>
      <c r="V34" s="84">
        <v>0.30099999999999999</v>
      </c>
      <c r="W34" s="84">
        <v>0.27500000000000002</v>
      </c>
      <c r="X34" s="84">
        <v>0.252</v>
      </c>
      <c r="Y34" s="84">
        <v>0.23</v>
      </c>
      <c r="Z34" s="84">
        <v>0.21</v>
      </c>
      <c r="AA34" s="84">
        <v>0.192</v>
      </c>
      <c r="AB34" s="84">
        <v>0.17599999999999999</v>
      </c>
      <c r="AC34" s="84">
        <v>0.161</v>
      </c>
      <c r="AD34" s="85">
        <v>0.14699999999999999</v>
      </c>
      <c r="BF34" s="1">
        <f t="shared" si="7"/>
        <v>11</v>
      </c>
      <c r="BG34" s="1">
        <v>110</v>
      </c>
      <c r="BH34" s="1">
        <v>3</v>
      </c>
      <c r="BI34" s="1">
        <v>1.9</v>
      </c>
    </row>
    <row r="35" spans="8:61" ht="16.5" x14ac:dyDescent="0.35">
      <c r="H35" s="67"/>
      <c r="I35" s="3"/>
      <c r="J35" s="39"/>
      <c r="K35" s="3"/>
      <c r="L35" s="3"/>
      <c r="M35" s="3"/>
      <c r="N35" s="3"/>
      <c r="O35" s="3"/>
      <c r="P35" s="67">
        <f t="shared" si="5"/>
        <v>70</v>
      </c>
      <c r="Q35" s="3">
        <f t="shared" si="6"/>
        <v>1080</v>
      </c>
      <c r="R35" s="3"/>
      <c r="S35" s="68">
        <f>-0.0000000027738693*P35^4+0.0000009246851463*P35^3-0.0001185031570336*P35^2+0.0072869681745214*P35+0.0011774964971938</f>
        <v>0.18116620253695181</v>
      </c>
      <c r="T35" s="42"/>
      <c r="U35" s="42"/>
      <c r="V35" s="42"/>
      <c r="W35" s="42"/>
      <c r="X35" s="42"/>
      <c r="Y35" s="42"/>
      <c r="BF35" s="1">
        <f t="shared" si="7"/>
        <v>16</v>
      </c>
      <c r="BG35" s="1">
        <v>105</v>
      </c>
      <c r="BH35" s="1">
        <v>4.2</v>
      </c>
      <c r="BI35" s="1">
        <v>2.6</v>
      </c>
    </row>
    <row r="36" spans="8:61" ht="16.5" x14ac:dyDescent="0.35">
      <c r="H36" s="73"/>
      <c r="I36" s="11"/>
      <c r="J36" s="11"/>
      <c r="K36" s="11"/>
      <c r="L36" s="11"/>
      <c r="M36" s="11"/>
      <c r="N36" s="11"/>
      <c r="O36" s="11"/>
      <c r="P36" s="67">
        <f t="shared" si="5"/>
        <v>70</v>
      </c>
      <c r="Q36" s="3">
        <f t="shared" si="6"/>
        <v>1090</v>
      </c>
      <c r="R36" s="11"/>
      <c r="S36" s="68">
        <f>-0.000000002593425*P36^4+0.0000008603218391*P36^3-0.0001094739572688*P36^2+0.0066853898387198*P36+0.0011542244995715</f>
        <v>0.1655313791541376</v>
      </c>
      <c r="T36" s="42"/>
      <c r="U36" s="42"/>
      <c r="V36" s="42"/>
      <c r="W36" s="42"/>
      <c r="X36" s="42"/>
      <c r="Y36" s="42"/>
      <c r="AG36" s="2" t="s">
        <v>80</v>
      </c>
      <c r="BF36" s="1">
        <f t="shared" si="7"/>
        <v>26</v>
      </c>
      <c r="BG36" s="1">
        <v>95</v>
      </c>
      <c r="BH36" s="1">
        <v>6.3</v>
      </c>
      <c r="BI36" s="1">
        <v>3.6</v>
      </c>
    </row>
    <row r="37" spans="8:61" ht="16.5" x14ac:dyDescent="0.35">
      <c r="H37" s="74"/>
      <c r="P37" s="67">
        <f t="shared" si="5"/>
        <v>70</v>
      </c>
      <c r="Q37" s="3">
        <f t="shared" si="6"/>
        <v>1100</v>
      </c>
      <c r="S37" s="68">
        <f>-0.0000000023310352*P37^4+0.0000007796431484*P37^3-0.00009982874040812*P37^2+0.0061134405825549*P37+0.0009272724785276</f>
        <v>0.15115673000678262</v>
      </c>
      <c r="T37" s="42"/>
      <c r="U37" s="42"/>
      <c r="V37" s="42"/>
      <c r="W37" s="42"/>
      <c r="X37" s="42"/>
      <c r="Y37" s="42"/>
      <c r="BF37" s="1">
        <f t="shared" si="7"/>
        <v>36</v>
      </c>
      <c r="BG37" s="1">
        <v>85</v>
      </c>
      <c r="BH37" s="1">
        <v>7.8</v>
      </c>
      <c r="BI37" s="1">
        <v>4.2</v>
      </c>
    </row>
    <row r="38" spans="8:61" ht="16.5" x14ac:dyDescent="0.35">
      <c r="H38" s="75"/>
      <c r="I38" s="76"/>
      <c r="J38" s="76"/>
      <c r="K38" s="76"/>
      <c r="L38" s="77"/>
      <c r="M38" s="77"/>
      <c r="N38" s="77"/>
      <c r="O38" s="76"/>
      <c r="P38" s="78">
        <f t="shared" si="5"/>
        <v>70</v>
      </c>
      <c r="Q38" s="79">
        <f t="shared" si="6"/>
        <v>1110</v>
      </c>
      <c r="R38" s="76"/>
      <c r="S38" s="80">
        <f>-0.0000000021340833*P38^4+0.0000007072585172*P38^3-0.0000902185753079*P38^2+0.0055434779001008*P38+0.0011692111538</f>
        <v>0.13849197651874603</v>
      </c>
      <c r="T38" s="42"/>
      <c r="U38" s="42"/>
      <c r="V38" s="42"/>
      <c r="W38" s="42"/>
      <c r="X38" s="42"/>
      <c r="Y38" s="42"/>
      <c r="AG38" s="2" t="s">
        <v>81</v>
      </c>
      <c r="AI38" s="2" t="s">
        <v>82</v>
      </c>
      <c r="AK38" s="2" t="s">
        <v>83</v>
      </c>
      <c r="BF38" s="1">
        <f t="shared" si="7"/>
        <v>46</v>
      </c>
      <c r="BG38" s="1">
        <v>75</v>
      </c>
      <c r="BH38" s="1">
        <v>8.9</v>
      </c>
      <c r="BI38" s="1">
        <v>4.5999999999999996</v>
      </c>
    </row>
    <row r="39" spans="8:61" x14ac:dyDescent="0.3">
      <c r="T39" s="42"/>
      <c r="U39" s="42"/>
      <c r="V39" s="42"/>
      <c r="W39" s="42"/>
      <c r="X39" s="42"/>
      <c r="Y39" s="42"/>
      <c r="BF39" s="1">
        <f t="shared" si="7"/>
        <v>61</v>
      </c>
      <c r="BG39" s="1">
        <v>60</v>
      </c>
      <c r="BH39" s="1">
        <v>9.8000000000000007</v>
      </c>
      <c r="BI39" s="1">
        <v>5</v>
      </c>
    </row>
    <row r="40" spans="8:61" ht="16.5" x14ac:dyDescent="0.35">
      <c r="H40" s="59">
        <v>4</v>
      </c>
      <c r="I40" s="60">
        <f>L40*K40*N40</f>
        <v>0.51889015201136091</v>
      </c>
      <c r="J40" s="61"/>
      <c r="K40" s="62">
        <f>'berekening Wort'!$D$30</f>
        <v>3.4</v>
      </c>
      <c r="L40" s="61">
        <f>(10/'berekening Wort'!$D$8)*'berekening Wort'!$A$30</f>
        <v>7.6000000000000005</v>
      </c>
      <c r="M40" s="61">
        <f>'berekening Wort'!$E$30</f>
        <v>2</v>
      </c>
      <c r="N40" s="63">
        <f>VLOOKUP($Q$7,Q40:S48,3)</f>
        <v>2.0080888235733781E-2</v>
      </c>
      <c r="O40" s="61"/>
      <c r="P40" s="59">
        <f t="shared" ref="P40:P48" si="8">M$40</f>
        <v>2</v>
      </c>
      <c r="Q40" s="61">
        <v>1030</v>
      </c>
      <c r="R40" s="61"/>
      <c r="S40" s="64">
        <f>-0.000000004160625*P40^4+0.000001400652572*P40^3-0.000181473605536*P40^2+0.011274897128777*P40+0.003458016386372</f>
        <v>2.5293054872358001E-2</v>
      </c>
      <c r="T40" s="42"/>
      <c r="U40" s="42"/>
      <c r="V40" s="42"/>
      <c r="W40" s="42"/>
      <c r="X40" s="42"/>
      <c r="Y40" s="42"/>
      <c r="AG40" s="3">
        <v>1030</v>
      </c>
      <c r="AI40" s="3" t="s">
        <v>84</v>
      </c>
      <c r="BF40" s="1">
        <f t="shared" si="7"/>
        <v>76</v>
      </c>
      <c r="BG40" s="1">
        <v>45</v>
      </c>
      <c r="BH40" s="1">
        <v>10.199999999999999</v>
      </c>
      <c r="BI40" s="1">
        <v>5.2</v>
      </c>
    </row>
    <row r="41" spans="8:61" ht="16.5" x14ac:dyDescent="0.35">
      <c r="H41" s="67"/>
      <c r="I41" s="3"/>
      <c r="J41" s="3"/>
      <c r="K41" s="3"/>
      <c r="L41" s="3"/>
      <c r="M41" s="3"/>
      <c r="N41" s="3"/>
      <c r="O41" s="3"/>
      <c r="P41" s="67">
        <f t="shared" si="8"/>
        <v>2</v>
      </c>
      <c r="Q41" s="3">
        <f t="shared" ref="Q41:Q48" si="9">Q40+10</f>
        <v>1040</v>
      </c>
      <c r="R41" s="3"/>
      <c r="S41" s="68">
        <f>-0.00000000404429*P41^4+0.000001339772834*P41^3-0.000170725602247*P41^2+0.010460178147039*P41+0.001506400549522</f>
        <v>2.1754507908643996E-2</v>
      </c>
      <c r="T41" s="42"/>
      <c r="U41" s="42"/>
      <c r="V41" s="42"/>
      <c r="W41" s="42"/>
      <c r="X41" s="42"/>
      <c r="Y41" s="42"/>
      <c r="AG41" s="3">
        <v>1040</v>
      </c>
      <c r="AI41" s="3" t="s">
        <v>85</v>
      </c>
      <c r="BF41" s="1">
        <f t="shared" si="7"/>
        <v>91</v>
      </c>
      <c r="BG41" s="1">
        <v>30</v>
      </c>
      <c r="BH41" s="1">
        <v>10.4</v>
      </c>
      <c r="BI41" s="1">
        <v>5.4</v>
      </c>
    </row>
    <row r="42" spans="8:61" ht="16.5" x14ac:dyDescent="0.35">
      <c r="H42" s="67"/>
      <c r="I42" s="3"/>
      <c r="J42" s="3"/>
      <c r="K42" s="3"/>
      <c r="L42" s="3"/>
      <c r="M42" s="3"/>
      <c r="N42" s="3"/>
      <c r="O42" s="3"/>
      <c r="P42" s="67">
        <f t="shared" si="8"/>
        <v>2</v>
      </c>
      <c r="Q42" s="3">
        <f t="shared" si="9"/>
        <v>1050</v>
      </c>
      <c r="R42" s="3"/>
      <c r="S42" s="68">
        <f>-0.00000000370590974*P42^4+0.00000122828391004*P42^3-0.0001563391365506*P42^2+0.00956255390260585*P42+0.00157137</f>
        <v>2.0080888235733781E-2</v>
      </c>
      <c r="T42" s="42"/>
      <c r="U42" s="42"/>
      <c r="V42" s="42"/>
      <c r="W42" s="42"/>
      <c r="X42" s="42"/>
      <c r="Y42" s="42"/>
      <c r="AG42" s="3">
        <v>1050</v>
      </c>
      <c r="AI42" s="3" t="s">
        <v>86</v>
      </c>
      <c r="BF42" s="1">
        <f t="shared" si="7"/>
        <v>106</v>
      </c>
      <c r="BG42" s="1">
        <v>15</v>
      </c>
      <c r="BH42" s="1">
        <v>10.5</v>
      </c>
      <c r="BI42" s="1">
        <v>5.5</v>
      </c>
    </row>
    <row r="43" spans="8:61" ht="16.5" x14ac:dyDescent="0.35">
      <c r="H43" s="67"/>
      <c r="I43" s="72"/>
      <c r="J43" s="3"/>
      <c r="K43" s="3"/>
      <c r="L43" s="3"/>
      <c r="M43" s="3"/>
      <c r="N43" s="3"/>
      <c r="O43" s="3"/>
      <c r="P43" s="67">
        <f t="shared" si="8"/>
        <v>2</v>
      </c>
      <c r="Q43" s="3">
        <f t="shared" si="9"/>
        <v>1060</v>
      </c>
      <c r="R43" s="3"/>
      <c r="S43" s="68">
        <f>-0.0000000033976765*P43^4+0.0000011250152533*P43^3-0.0001431864396158*P43^2+0.008759416332019*P43+0.001115038</f>
        <v>1.8070070664777199E-2</v>
      </c>
      <c r="T43" s="42"/>
      <c r="U43" s="42"/>
      <c r="V43" s="42"/>
      <c r="W43" s="42"/>
      <c r="X43" s="42"/>
      <c r="Y43" s="42"/>
      <c r="AG43" s="3">
        <v>1060</v>
      </c>
      <c r="AI43" s="3" t="s">
        <v>87</v>
      </c>
      <c r="BF43" s="1">
        <f t="shared" si="7"/>
        <v>120</v>
      </c>
      <c r="BG43" s="1">
        <v>1</v>
      </c>
      <c r="BH43" s="1">
        <v>10.6</v>
      </c>
      <c r="BI43" s="1">
        <v>5.5</v>
      </c>
    </row>
    <row r="44" spans="8:61" ht="16.5" x14ac:dyDescent="0.35">
      <c r="H44" s="67"/>
      <c r="I44" s="3"/>
      <c r="J44" s="3"/>
      <c r="K44" s="3"/>
      <c r="L44" s="3"/>
      <c r="M44" s="3"/>
      <c r="N44" s="3"/>
      <c r="O44" s="3"/>
      <c r="P44" s="67">
        <f t="shared" si="8"/>
        <v>2</v>
      </c>
      <c r="Q44" s="3">
        <f t="shared" si="9"/>
        <v>1070</v>
      </c>
      <c r="R44" s="3"/>
      <c r="S44" s="68">
        <f>-0.0000000030945005*P44^4+0.0000010249690135*P44^3-0.0001305179756368*P44^2+0.0079878274782061*P44+0.0012641886374256</f>
        <v>1.6725921931390598E-2</v>
      </c>
      <c r="T44" s="42"/>
      <c r="U44" s="42"/>
      <c r="V44" s="42"/>
      <c r="W44" s="42"/>
      <c r="X44" s="42"/>
      <c r="Y44" s="42"/>
      <c r="AG44" s="3">
        <v>1070</v>
      </c>
      <c r="AI44" s="3" t="s">
        <v>88</v>
      </c>
    </row>
    <row r="45" spans="8:61" ht="16.5" x14ac:dyDescent="0.35">
      <c r="H45" s="67"/>
      <c r="I45" s="3"/>
      <c r="J45" s="39"/>
      <c r="K45" s="3"/>
      <c r="L45" s="3"/>
      <c r="M45" s="3"/>
      <c r="N45" s="3"/>
      <c r="O45" s="3"/>
      <c r="P45" s="67">
        <f t="shared" si="8"/>
        <v>2</v>
      </c>
      <c r="Q45" s="3">
        <f t="shared" si="9"/>
        <v>1080</v>
      </c>
      <c r="R45" s="3"/>
      <c r="S45" s="68">
        <f>-0.0000000027738693*P45^4+0.0000009246851463*P45^3-0.0001185031570336*P45^2+0.0072869681745214*P45+0.0011774964971938</f>
        <v>1.5284773317363802E-2</v>
      </c>
      <c r="T45" s="42"/>
      <c r="U45" s="42"/>
      <c r="V45" s="42"/>
      <c r="W45" s="42"/>
      <c r="X45" s="42"/>
      <c r="Y45" s="42"/>
      <c r="AG45" s="3">
        <v>1080</v>
      </c>
      <c r="AI45" s="3" t="s">
        <v>89</v>
      </c>
    </row>
    <row r="46" spans="8:61" ht="16.5" x14ac:dyDescent="0.35">
      <c r="H46" s="73"/>
      <c r="I46" s="11"/>
      <c r="J46" s="11"/>
      <c r="K46" s="11"/>
      <c r="L46" s="11"/>
      <c r="M46" s="11"/>
      <c r="N46" s="11"/>
      <c r="O46" s="11"/>
      <c r="P46" s="67">
        <f t="shared" si="8"/>
        <v>2</v>
      </c>
      <c r="Q46" s="3">
        <f t="shared" si="9"/>
        <v>1090</v>
      </c>
      <c r="R46" s="11"/>
      <c r="S46" s="68">
        <f>-0.000000002593425*P46^4+0.0000008603218391*P46^3-0.0001094739572688*P46^2+0.0066853898387198*P46+0.0011542244995715</f>
        <v>1.4093949427848699E-2</v>
      </c>
      <c r="T46" s="42"/>
      <c r="U46" s="42"/>
      <c r="V46" s="42"/>
      <c r="W46" s="42"/>
      <c r="X46" s="42"/>
      <c r="Y46" s="42"/>
      <c r="AG46" s="3">
        <v>1090</v>
      </c>
      <c r="AI46" s="3" t="s">
        <v>90</v>
      </c>
    </row>
    <row r="47" spans="8:61" ht="16.5" x14ac:dyDescent="0.35">
      <c r="H47" s="74"/>
      <c r="P47" s="67">
        <f t="shared" si="8"/>
        <v>2</v>
      </c>
      <c r="Q47" s="3">
        <f t="shared" si="9"/>
        <v>1100</v>
      </c>
      <c r="S47" s="68">
        <f>-0.0000000023310352*P47^4+0.0000007796431484*P47^3-0.00009982874040812*P47^2+0.0061134405825549*P47+0.0009272724785276</f>
        <v>1.2761038530628918E-2</v>
      </c>
      <c r="T47" s="42"/>
      <c r="U47" s="42"/>
      <c r="V47" s="42"/>
      <c r="W47" s="42"/>
      <c r="X47" s="42"/>
      <c r="Y47" s="42"/>
      <c r="AG47" s="40">
        <v>1100</v>
      </c>
      <c r="AI47" s="39" t="s">
        <v>91</v>
      </c>
    </row>
    <row r="48" spans="8:61" ht="16.5" x14ac:dyDescent="0.35">
      <c r="H48" s="75"/>
      <c r="I48" s="76"/>
      <c r="J48" s="76"/>
      <c r="K48" s="76"/>
      <c r="L48" s="77"/>
      <c r="M48" s="77"/>
      <c r="N48" s="77"/>
      <c r="O48" s="76"/>
      <c r="P48" s="78">
        <f t="shared" si="8"/>
        <v>2</v>
      </c>
      <c r="Q48" s="79">
        <f t="shared" si="9"/>
        <v>1110</v>
      </c>
      <c r="R48" s="76"/>
      <c r="S48" s="80">
        <f>-0.0000000021340833*P48^4+0.0000007072585172*P48^3-0.0000902185753079*P48^2+0.0055434779001008*P48+0.0011692111538</f>
        <v>1.1900916575574801E-2</v>
      </c>
      <c r="T48" s="42"/>
      <c r="U48" s="42"/>
      <c r="V48" s="42"/>
      <c r="W48" s="42"/>
      <c r="X48" s="42"/>
      <c r="Y48" s="42"/>
      <c r="AG48" s="3">
        <v>1110</v>
      </c>
      <c r="AI48" s="3" t="s">
        <v>92</v>
      </c>
    </row>
    <row r="49" spans="8:21" x14ac:dyDescent="0.3">
      <c r="T49" s="14"/>
      <c r="U49" s="14"/>
    </row>
    <row r="50" spans="8:21" ht="16.5" x14ac:dyDescent="0.35">
      <c r="H50" s="59">
        <v>5</v>
      </c>
      <c r="I50" s="60">
        <f>L50*K50*N50</f>
        <v>0</v>
      </c>
      <c r="J50" s="61"/>
      <c r="K50" s="62">
        <f>'berekening Wort'!$D$31</f>
        <v>0</v>
      </c>
      <c r="L50" s="61">
        <f>(10/'berekening Wort'!$D$8)*'berekening Wort'!$A$31</f>
        <v>0</v>
      </c>
      <c r="M50" s="61">
        <f>'berekening Wort'!$E$31</f>
        <v>0</v>
      </c>
      <c r="N50" s="63">
        <f>VLOOKUP($Q$7,Q50:S58,3)</f>
        <v>1.5713700000000001E-3</v>
      </c>
      <c r="O50" s="61"/>
      <c r="P50" s="59">
        <f t="shared" ref="P50:P58" si="10">M$50</f>
        <v>0</v>
      </c>
      <c r="Q50" s="61">
        <v>1030</v>
      </c>
      <c r="R50" s="61"/>
      <c r="S50" s="64">
        <f>-0.000000004160625*P50^4+0.000001400652572*P50^3-0.000181473605536*P50^2+0.011274897128777*P50+0.003458016386372</f>
        <v>3.4580163863719999E-3</v>
      </c>
    </row>
    <row r="51" spans="8:21" ht="16.5" x14ac:dyDescent="0.35">
      <c r="H51" s="67"/>
      <c r="I51" s="3"/>
      <c r="J51" s="3"/>
      <c r="K51" s="3"/>
      <c r="L51" s="3"/>
      <c r="M51" s="3"/>
      <c r="N51" s="3"/>
      <c r="O51" s="3"/>
      <c r="P51" s="67">
        <f t="shared" si="10"/>
        <v>0</v>
      </c>
      <c r="Q51" s="3">
        <f t="shared" ref="Q51:Q58" si="11">Q50+10</f>
        <v>1040</v>
      </c>
      <c r="R51" s="3"/>
      <c r="S51" s="68">
        <f>-0.00000000404429*P51^4+0.000001339772834*P51^3-0.000170725602247*P51^2+0.010460178147039*P51+0.001506400549522</f>
        <v>1.5064005495219999E-3</v>
      </c>
    </row>
    <row r="52" spans="8:21" ht="16.5" x14ac:dyDescent="0.35">
      <c r="H52" s="67"/>
      <c r="I52" s="3"/>
      <c r="J52" s="3"/>
      <c r="K52" s="3"/>
      <c r="L52" s="3"/>
      <c r="M52" s="3"/>
      <c r="N52" s="3"/>
      <c r="O52" s="3"/>
      <c r="P52" s="67">
        <f t="shared" si="10"/>
        <v>0</v>
      </c>
      <c r="Q52" s="3">
        <f t="shared" si="11"/>
        <v>1050</v>
      </c>
      <c r="R52" s="3"/>
      <c r="S52" s="68">
        <f>-0.00000000370590974*P52^4+0.00000122828391004*P52^3-0.0001563391365506*P52^2+0.00956255390260585*P52+0.00157137</f>
        <v>1.5713700000000001E-3</v>
      </c>
    </row>
    <row r="53" spans="8:21" ht="16.5" x14ac:dyDescent="0.35">
      <c r="H53" s="74"/>
      <c r="J53" s="3"/>
      <c r="K53" s="3"/>
      <c r="L53" s="3"/>
      <c r="M53" s="3"/>
      <c r="N53" s="3"/>
      <c r="O53" s="3"/>
      <c r="P53" s="67">
        <f t="shared" si="10"/>
        <v>0</v>
      </c>
      <c r="Q53" s="3">
        <f t="shared" si="11"/>
        <v>1060</v>
      </c>
      <c r="R53" s="3"/>
      <c r="S53" s="68">
        <f>-0.0000000033976765*P53^4+0.0000011250152533*P53^3-0.0001431864396158*P53^2+0.008759416332019*P53+0.001115038</f>
        <v>1.1150380000000001E-3</v>
      </c>
    </row>
    <row r="54" spans="8:21" ht="16.5" x14ac:dyDescent="0.35">
      <c r="H54" s="67"/>
      <c r="I54" s="3"/>
      <c r="J54" s="3"/>
      <c r="K54" s="3"/>
      <c r="L54" s="3"/>
      <c r="M54" s="3"/>
      <c r="N54" s="3"/>
      <c r="O54" s="3"/>
      <c r="P54" s="67">
        <f t="shared" si="10"/>
        <v>0</v>
      </c>
      <c r="Q54" s="3">
        <f t="shared" si="11"/>
        <v>1070</v>
      </c>
      <c r="R54" s="3"/>
      <c r="S54" s="68">
        <f>-0.0000000030945005*P54^4+0.0000010249690135*P54^3-0.0001305179756368*P54^2+0.0079878274782061*P54+0.0012641886374256</f>
        <v>1.2641886374256E-3</v>
      </c>
    </row>
    <row r="55" spans="8:21" ht="16.5" x14ac:dyDescent="0.35">
      <c r="H55" s="67"/>
      <c r="I55" s="3"/>
      <c r="J55" s="39"/>
      <c r="K55" s="3"/>
      <c r="L55" s="3"/>
      <c r="M55" s="3"/>
      <c r="N55" s="3"/>
      <c r="O55" s="3"/>
      <c r="P55" s="67">
        <f t="shared" si="10"/>
        <v>0</v>
      </c>
      <c r="Q55" s="3">
        <f t="shared" si="11"/>
        <v>1080</v>
      </c>
      <c r="R55" s="3"/>
      <c r="S55" s="68">
        <f>-0.0000000027738693*P55^4+0.0000009246851463*P55^3-0.0001185031570336*P55^2+0.0072869681745214*P55+0.0011774964971938</f>
        <v>1.1774964971937999E-3</v>
      </c>
    </row>
    <row r="56" spans="8:21" ht="16.5" x14ac:dyDescent="0.35">
      <c r="H56" s="73"/>
      <c r="I56" s="11"/>
      <c r="J56" s="11"/>
      <c r="K56" s="11"/>
      <c r="L56" s="11"/>
      <c r="M56" s="11"/>
      <c r="N56" s="11"/>
      <c r="O56" s="11"/>
      <c r="P56" s="67">
        <f t="shared" si="10"/>
        <v>0</v>
      </c>
      <c r="Q56" s="3">
        <f t="shared" si="11"/>
        <v>1090</v>
      </c>
      <c r="R56" s="11"/>
      <c r="S56" s="68">
        <f>-0.000000002593425*P56^4+0.0000008603218391*P56^3-0.0001094739572688*P56^2+0.0066853898387198*P56+0.0011542244995715</f>
        <v>1.1542244995715E-3</v>
      </c>
    </row>
    <row r="57" spans="8:21" ht="16.5" x14ac:dyDescent="0.35">
      <c r="H57" s="74"/>
      <c r="P57" s="67">
        <f t="shared" si="10"/>
        <v>0</v>
      </c>
      <c r="Q57" s="3">
        <f t="shared" si="11"/>
        <v>1100</v>
      </c>
      <c r="S57" s="68">
        <f>-0.0000000023310352*P57^4+0.0000007796431484*P57^3-0.00009982874040812*P57^2+0.0061134405825549*P57+0.0009272724785276</f>
        <v>9.2727247852759996E-4</v>
      </c>
    </row>
    <row r="58" spans="8:21" ht="16.5" x14ac:dyDescent="0.35">
      <c r="H58" s="75"/>
      <c r="I58" s="76"/>
      <c r="J58" s="76"/>
      <c r="K58" s="76"/>
      <c r="L58" s="77"/>
      <c r="M58" s="77"/>
      <c r="N58" s="77"/>
      <c r="O58" s="76"/>
      <c r="P58" s="78">
        <f t="shared" si="10"/>
        <v>0</v>
      </c>
      <c r="Q58" s="79">
        <f t="shared" si="11"/>
        <v>1110</v>
      </c>
      <c r="R58" s="76"/>
      <c r="S58" s="80">
        <f>-0.0000000021340833*P58^4+0.0000007072585172*P58^3-0.0000902185753079*P58^2+0.0055434779001008*P58+0.0011692111538</f>
        <v>1.1692111537999999E-3</v>
      </c>
    </row>
    <row r="60" spans="8:21" ht="16.5" x14ac:dyDescent="0.35">
      <c r="H60" s="59">
        <v>6</v>
      </c>
      <c r="I60" s="60">
        <f>L60*K60*N60</f>
        <v>0</v>
      </c>
      <c r="J60" s="61"/>
      <c r="K60" s="62">
        <f>'berekening Wort'!$D$32</f>
        <v>0</v>
      </c>
      <c r="L60" s="61">
        <f>(10/'berekening Wort'!$D$8)*'berekening Wort'!$A$32</f>
        <v>0</v>
      </c>
      <c r="M60" s="61">
        <f>'berekening Wort'!$E$32</f>
        <v>0</v>
      </c>
      <c r="N60" s="63">
        <f>VLOOKUP($Q$7,Q60:S68,3)</f>
        <v>1.5713700000000001E-3</v>
      </c>
      <c r="O60" s="61"/>
      <c r="P60" s="59">
        <f t="shared" ref="P60:P68" si="12">M$60</f>
        <v>0</v>
      </c>
      <c r="Q60" s="61">
        <v>1030</v>
      </c>
      <c r="R60" s="61"/>
      <c r="S60" s="64">
        <f>-0.000000004160625*P60^4+0.000001400652572*P60^3-0.000181473605536*P60^2+0.011274897128777*P60+0.003458016386372</f>
        <v>3.4580163863719999E-3</v>
      </c>
    </row>
    <row r="61" spans="8:21" ht="16.5" x14ac:dyDescent="0.35">
      <c r="H61" s="67"/>
      <c r="I61" s="3"/>
      <c r="J61" s="3"/>
      <c r="K61" s="3"/>
      <c r="L61" s="3"/>
      <c r="M61" s="3"/>
      <c r="N61" s="3"/>
      <c r="O61" s="3"/>
      <c r="P61" s="67">
        <f t="shared" si="12"/>
        <v>0</v>
      </c>
      <c r="Q61" s="3">
        <f t="shared" ref="Q61:Q68" si="13">Q60+10</f>
        <v>1040</v>
      </c>
      <c r="R61" s="3"/>
      <c r="S61" s="68">
        <f>-0.00000000404429*P61^4+0.000001339772834*P61^3-0.000170725602247*P61^2+0.010460178147039*P61+0.001506400549522</f>
        <v>1.5064005495219999E-3</v>
      </c>
    </row>
    <row r="62" spans="8:21" ht="16.5" x14ac:dyDescent="0.35">
      <c r="H62" s="67"/>
      <c r="I62" s="3"/>
      <c r="J62" s="3"/>
      <c r="K62" s="3"/>
      <c r="L62" s="3"/>
      <c r="M62" s="3"/>
      <c r="N62" s="3"/>
      <c r="O62" s="3"/>
      <c r="P62" s="67">
        <f t="shared" si="12"/>
        <v>0</v>
      </c>
      <c r="Q62" s="3">
        <f t="shared" si="13"/>
        <v>1050</v>
      </c>
      <c r="R62" s="3"/>
      <c r="S62" s="68">
        <f>-0.00000000370590974*P62^4+0.00000122828391004*P62^3-0.0001563391365506*P62^2+0.00956255390260585*P62+0.00157137</f>
        <v>1.5713700000000001E-3</v>
      </c>
    </row>
    <row r="63" spans="8:21" ht="16.5" x14ac:dyDescent="0.35">
      <c r="H63" s="74"/>
      <c r="J63" s="3"/>
      <c r="K63" s="3"/>
      <c r="L63" s="3"/>
      <c r="M63" s="3"/>
      <c r="N63" s="3"/>
      <c r="O63" s="3"/>
      <c r="P63" s="67">
        <f t="shared" si="12"/>
        <v>0</v>
      </c>
      <c r="Q63" s="3">
        <f t="shared" si="13"/>
        <v>1060</v>
      </c>
      <c r="R63" s="3"/>
      <c r="S63" s="68">
        <f>-0.0000000033976765*P63^4+0.0000011250152533*P63^3-0.0001431864396158*P63^2+0.008759416332019*P63+0.001115038</f>
        <v>1.1150380000000001E-3</v>
      </c>
    </row>
    <row r="64" spans="8:21" ht="16.5" x14ac:dyDescent="0.35">
      <c r="H64" s="67"/>
      <c r="I64" s="3"/>
      <c r="J64" s="3"/>
      <c r="K64" s="3"/>
      <c r="L64" s="3"/>
      <c r="M64" s="3"/>
      <c r="N64" s="3"/>
      <c r="O64" s="3"/>
      <c r="P64" s="67">
        <f t="shared" si="12"/>
        <v>0</v>
      </c>
      <c r="Q64" s="3">
        <f t="shared" si="13"/>
        <v>1070</v>
      </c>
      <c r="R64" s="3"/>
      <c r="S64" s="68">
        <f>-0.0000000030945005*P64^4+0.0000010249690135*P64^3-0.0001305179756368*P64^2+0.0079878274782061*P64+0.0012641886374256</f>
        <v>1.2641886374256E-3</v>
      </c>
    </row>
    <row r="65" spans="8:19" ht="16.5" x14ac:dyDescent="0.35">
      <c r="H65" s="67"/>
      <c r="I65" s="3"/>
      <c r="J65" s="39"/>
      <c r="K65" s="3"/>
      <c r="L65" s="3"/>
      <c r="M65" s="3"/>
      <c r="N65" s="3"/>
      <c r="O65" s="3"/>
      <c r="P65" s="67">
        <f t="shared" si="12"/>
        <v>0</v>
      </c>
      <c r="Q65" s="3">
        <f t="shared" si="13"/>
        <v>1080</v>
      </c>
      <c r="R65" s="3"/>
      <c r="S65" s="68">
        <f>-0.0000000027738693*P65^4+0.0000009246851463*P65^3-0.0001185031570336*P65^2+0.0072869681745214*P65+0.0011774964971938</f>
        <v>1.1774964971937999E-3</v>
      </c>
    </row>
    <row r="66" spans="8:19" ht="16.5" x14ac:dyDescent="0.35">
      <c r="H66" s="73"/>
      <c r="I66" s="11"/>
      <c r="J66" s="11"/>
      <c r="K66" s="11"/>
      <c r="L66" s="11"/>
      <c r="M66" s="11"/>
      <c r="N66" s="11"/>
      <c r="O66" s="11"/>
      <c r="P66" s="67">
        <f t="shared" si="12"/>
        <v>0</v>
      </c>
      <c r="Q66" s="3">
        <f t="shared" si="13"/>
        <v>1090</v>
      </c>
      <c r="R66" s="11"/>
      <c r="S66" s="68">
        <f>-0.000000002593425*P66^4+0.0000008603218391*P66^3-0.0001094739572688*P66^2+0.0066853898387198*P66+0.0011542244995715</f>
        <v>1.1542244995715E-3</v>
      </c>
    </row>
    <row r="67" spans="8:19" ht="16.5" x14ac:dyDescent="0.35">
      <c r="H67" s="74"/>
      <c r="P67" s="67">
        <f t="shared" si="12"/>
        <v>0</v>
      </c>
      <c r="Q67" s="3">
        <f t="shared" si="13"/>
        <v>1100</v>
      </c>
      <c r="S67" s="68">
        <f>-0.0000000023310352*P67^4+0.0000007796431484*P67^3-0.00009982874040812*P67^2+0.0061134405825549*P67+0.0009272724785276</f>
        <v>9.2727247852759996E-4</v>
      </c>
    </row>
    <row r="68" spans="8:19" ht="16.5" x14ac:dyDescent="0.35">
      <c r="H68" s="75"/>
      <c r="I68" s="76"/>
      <c r="J68" s="76"/>
      <c r="K68" s="76"/>
      <c r="L68" s="77"/>
      <c r="M68" s="77"/>
      <c r="N68" s="77"/>
      <c r="O68" s="76"/>
      <c r="P68" s="78">
        <f t="shared" si="12"/>
        <v>0</v>
      </c>
      <c r="Q68" s="79">
        <f t="shared" si="13"/>
        <v>1110</v>
      </c>
      <c r="R68" s="76"/>
      <c r="S68" s="80">
        <f>-0.0000000021340833*P68^4+0.0000007072585172*P68^3-0.0000902185753079*P68^2+0.0055434779001008*P68+0.0011692111538</f>
        <v>1.1692111537999999E-3</v>
      </c>
    </row>
    <row r="70" spans="8:19" ht="16.5" x14ac:dyDescent="0.35">
      <c r="H70" s="59">
        <v>7</v>
      </c>
      <c r="I70" s="60">
        <f>L70*K70*N70</f>
        <v>0</v>
      </c>
      <c r="J70" s="61"/>
      <c r="K70" s="62">
        <f>'berekening Wort'!$D$33</f>
        <v>0</v>
      </c>
      <c r="L70" s="61">
        <f>(10/'berekening Wort'!$D$8)*'berekening Wort'!$A$33</f>
        <v>0</v>
      </c>
      <c r="M70" s="61">
        <f>'berekening Wort'!$E$33</f>
        <v>0</v>
      </c>
      <c r="N70" s="63">
        <f>VLOOKUP($Q$7,Q70:S78,3)</f>
        <v>1.5713700000000001E-3</v>
      </c>
      <c r="O70" s="61"/>
      <c r="P70" s="59">
        <f t="shared" ref="P70:P78" si="14">M$70</f>
        <v>0</v>
      </c>
      <c r="Q70" s="61">
        <v>1030</v>
      </c>
      <c r="R70" s="61"/>
      <c r="S70" s="64">
        <f>-0.000000004160625*P70^4+0.000001400652572*P70^3-0.000181473605536*P70^2+0.011274897128777*P70+0.003458016386372</f>
        <v>3.4580163863719999E-3</v>
      </c>
    </row>
    <row r="71" spans="8:19" ht="16.5" x14ac:dyDescent="0.35">
      <c r="H71" s="67"/>
      <c r="I71" s="3"/>
      <c r="J71" s="3"/>
      <c r="K71" s="3"/>
      <c r="L71" s="3"/>
      <c r="M71" s="3"/>
      <c r="N71" s="3"/>
      <c r="O71" s="3"/>
      <c r="P71" s="67">
        <f t="shared" si="14"/>
        <v>0</v>
      </c>
      <c r="Q71" s="3">
        <f t="shared" ref="Q71:Q78" si="15">Q70+10</f>
        <v>1040</v>
      </c>
      <c r="R71" s="3"/>
      <c r="S71" s="68">
        <f>-0.00000000404429*P71^4+0.000001339772834*P71^3-0.000170725602247*P71^2+0.010460178147039*P71+0.001506400549522</f>
        <v>1.5064005495219999E-3</v>
      </c>
    </row>
    <row r="72" spans="8:19" ht="16.5" x14ac:dyDescent="0.35">
      <c r="H72" s="67"/>
      <c r="I72" s="3"/>
      <c r="J72" s="3"/>
      <c r="K72" s="3"/>
      <c r="L72" s="3"/>
      <c r="M72" s="3"/>
      <c r="N72" s="3"/>
      <c r="O72" s="3"/>
      <c r="P72" s="67">
        <f t="shared" si="14"/>
        <v>0</v>
      </c>
      <c r="Q72" s="3">
        <f t="shared" si="15"/>
        <v>1050</v>
      </c>
      <c r="R72" s="3"/>
      <c r="S72" s="68">
        <f>-0.00000000370590974*P72^4+0.00000122828391004*P72^3-0.0001563391365506*P72^2+0.00956255390260585*P72+0.00157137</f>
        <v>1.5713700000000001E-3</v>
      </c>
    </row>
    <row r="73" spans="8:19" ht="16.5" x14ac:dyDescent="0.35">
      <c r="H73" s="74"/>
      <c r="J73" s="3"/>
      <c r="K73" s="3"/>
      <c r="L73" s="3"/>
      <c r="M73" s="3"/>
      <c r="N73" s="3"/>
      <c r="O73" s="3"/>
      <c r="P73" s="67">
        <f t="shared" si="14"/>
        <v>0</v>
      </c>
      <c r="Q73" s="3">
        <f t="shared" si="15"/>
        <v>1060</v>
      </c>
      <c r="R73" s="3"/>
      <c r="S73" s="68">
        <f>-0.0000000033976765*P73^4+0.0000011250152533*P73^3-0.0001431864396158*P73^2+0.008759416332019*P73+0.001115038</f>
        <v>1.1150380000000001E-3</v>
      </c>
    </row>
    <row r="74" spans="8:19" ht="16.5" x14ac:dyDescent="0.35">
      <c r="H74" s="67"/>
      <c r="I74" s="3"/>
      <c r="J74" s="3"/>
      <c r="K74" s="3"/>
      <c r="L74" s="3"/>
      <c r="M74" s="3"/>
      <c r="N74" s="3"/>
      <c r="O74" s="3"/>
      <c r="P74" s="67">
        <f t="shared" si="14"/>
        <v>0</v>
      </c>
      <c r="Q74" s="3">
        <f t="shared" si="15"/>
        <v>1070</v>
      </c>
      <c r="R74" s="3"/>
      <c r="S74" s="68">
        <f>-0.0000000030945005*P74^4+0.0000010249690135*P74^3-0.0001305179756368*P74^2+0.0079878274782061*P74+0.0012641886374256</f>
        <v>1.2641886374256E-3</v>
      </c>
    </row>
    <row r="75" spans="8:19" ht="16.5" x14ac:dyDescent="0.35">
      <c r="H75" s="67"/>
      <c r="I75" s="3"/>
      <c r="J75" s="39"/>
      <c r="K75" s="3"/>
      <c r="L75" s="3"/>
      <c r="M75" s="3"/>
      <c r="N75" s="3"/>
      <c r="O75" s="3"/>
      <c r="P75" s="67">
        <f t="shared" si="14"/>
        <v>0</v>
      </c>
      <c r="Q75" s="3">
        <f t="shared" si="15"/>
        <v>1080</v>
      </c>
      <c r="R75" s="3"/>
      <c r="S75" s="68">
        <f>-0.0000000027738693*P75^4+0.0000009246851463*P75^3-0.0001185031570336*P75^2+0.0072869681745214*P75+0.0011774964971938</f>
        <v>1.1774964971937999E-3</v>
      </c>
    </row>
    <row r="76" spans="8:19" ht="16.5" x14ac:dyDescent="0.35">
      <c r="H76" s="73"/>
      <c r="I76" s="11"/>
      <c r="J76" s="11"/>
      <c r="K76" s="11"/>
      <c r="L76" s="11"/>
      <c r="M76" s="11"/>
      <c r="N76" s="11"/>
      <c r="O76" s="11"/>
      <c r="P76" s="67">
        <f t="shared" si="14"/>
        <v>0</v>
      </c>
      <c r="Q76" s="3">
        <f t="shared" si="15"/>
        <v>1090</v>
      </c>
      <c r="R76" s="11"/>
      <c r="S76" s="68">
        <f>-0.000000002593425*P76^4+0.0000008603218391*P76^3-0.0001094739572688*P76^2+0.0066853898387198*P76+0.0011542244995715</f>
        <v>1.1542244995715E-3</v>
      </c>
    </row>
    <row r="77" spans="8:19" ht="16.5" x14ac:dyDescent="0.35">
      <c r="H77" s="74"/>
      <c r="P77" s="67">
        <f t="shared" si="14"/>
        <v>0</v>
      </c>
      <c r="Q77" s="3">
        <f t="shared" si="15"/>
        <v>1100</v>
      </c>
      <c r="S77" s="68">
        <f>-0.0000000023310352*P77^4+0.0000007796431484*P77^3-0.00009982874040812*P77^2+0.0061134405825549*P77+0.0009272724785276</f>
        <v>9.2727247852759996E-4</v>
      </c>
    </row>
    <row r="78" spans="8:19" ht="16.5" x14ac:dyDescent="0.35">
      <c r="H78" s="75"/>
      <c r="I78" s="76"/>
      <c r="J78" s="76"/>
      <c r="K78" s="76"/>
      <c r="L78" s="77"/>
      <c r="M78" s="77"/>
      <c r="N78" s="77"/>
      <c r="O78" s="76"/>
      <c r="P78" s="78">
        <f t="shared" si="14"/>
        <v>0</v>
      </c>
      <c r="Q78" s="79">
        <f t="shared" si="15"/>
        <v>1110</v>
      </c>
      <c r="R78" s="76"/>
      <c r="S78" s="80">
        <f>-0.0000000021340833*P78^4+0.0000007072585172*P78^3-0.0000902185753079*P78^2+0.0055434779001008*P78+0.0011692111538</f>
        <v>1.1692111537999999E-3</v>
      </c>
    </row>
    <row r="80" spans="8:19" ht="16.5" x14ac:dyDescent="0.35">
      <c r="H80" s="59">
        <v>8</v>
      </c>
      <c r="I80" s="60">
        <f>L80*K80*N80</f>
        <v>0</v>
      </c>
      <c r="J80" s="61"/>
      <c r="K80" s="62">
        <f>'berekening Wort'!$D$34</f>
        <v>0</v>
      </c>
      <c r="L80" s="61">
        <f>(10/'berekening Wort'!$D$8)*'berekening Wort'!$A$34</f>
        <v>0</v>
      </c>
      <c r="M80" s="61">
        <f>'berekening Wort'!$E$34</f>
        <v>0</v>
      </c>
      <c r="N80" s="63">
        <f>VLOOKUP($Q$7,Q80:S88,3)</f>
        <v>1.5713700000000001E-3</v>
      </c>
      <c r="O80" s="61"/>
      <c r="P80" s="59">
        <f t="shared" ref="P80:P88" si="16">M$80</f>
        <v>0</v>
      </c>
      <c r="Q80" s="61">
        <v>1030</v>
      </c>
      <c r="R80" s="61"/>
      <c r="S80" s="64">
        <f>-0.000000004160625*P80^4+0.000001400652572*P80^3-0.000181473605536*P80^2+0.011274897128777*P80+0.003458016386372</f>
        <v>3.4580163863719999E-3</v>
      </c>
    </row>
    <row r="81" spans="8:19" ht="16.5" x14ac:dyDescent="0.35">
      <c r="H81" s="67"/>
      <c r="I81" s="3"/>
      <c r="J81" s="3"/>
      <c r="K81" s="3"/>
      <c r="L81" s="3"/>
      <c r="M81" s="3"/>
      <c r="N81" s="3"/>
      <c r="O81" s="3"/>
      <c r="P81" s="67">
        <f t="shared" si="16"/>
        <v>0</v>
      </c>
      <c r="Q81" s="3">
        <f t="shared" ref="Q81:Q88" si="17">Q80+10</f>
        <v>1040</v>
      </c>
      <c r="R81" s="3"/>
      <c r="S81" s="68">
        <f>-0.00000000404429*P81^4+0.000001339772834*P81^3-0.000170725602247*P81^2+0.010460178147039*P81+0.001506400549522</f>
        <v>1.5064005495219999E-3</v>
      </c>
    </row>
    <row r="82" spans="8:19" ht="16.5" x14ac:dyDescent="0.35">
      <c r="H82" s="67"/>
      <c r="I82" s="3"/>
      <c r="J82" s="3"/>
      <c r="K82" s="3"/>
      <c r="L82" s="3"/>
      <c r="M82" s="3"/>
      <c r="N82" s="3"/>
      <c r="O82" s="3"/>
      <c r="P82" s="67">
        <f t="shared" si="16"/>
        <v>0</v>
      </c>
      <c r="Q82" s="3">
        <f t="shared" si="17"/>
        <v>1050</v>
      </c>
      <c r="R82" s="3"/>
      <c r="S82" s="68">
        <f>-0.00000000370590974*P82^4+0.00000122828391004*P82^3-0.0001563391365506*P82^2+0.00956255390260585*P82+0.00157137</f>
        <v>1.5713700000000001E-3</v>
      </c>
    </row>
    <row r="83" spans="8:19" ht="16.5" x14ac:dyDescent="0.35">
      <c r="H83" s="74"/>
      <c r="J83" s="3"/>
      <c r="K83" s="3"/>
      <c r="L83" s="3"/>
      <c r="M83" s="3"/>
      <c r="N83" s="3"/>
      <c r="O83" s="3"/>
      <c r="P83" s="67">
        <f t="shared" si="16"/>
        <v>0</v>
      </c>
      <c r="Q83" s="3">
        <f t="shared" si="17"/>
        <v>1060</v>
      </c>
      <c r="R83" s="3"/>
      <c r="S83" s="68">
        <f>-0.0000000033976765*P83^4+0.0000011250152533*P83^3-0.0001431864396158*P83^2+0.008759416332019*P83+0.001115038</f>
        <v>1.1150380000000001E-3</v>
      </c>
    </row>
    <row r="84" spans="8:19" ht="16.5" x14ac:dyDescent="0.35">
      <c r="H84" s="67"/>
      <c r="I84" s="3"/>
      <c r="J84" s="3"/>
      <c r="K84" s="3"/>
      <c r="L84" s="3"/>
      <c r="M84" s="3"/>
      <c r="N84" s="3"/>
      <c r="O84" s="3"/>
      <c r="P84" s="67">
        <f t="shared" si="16"/>
        <v>0</v>
      </c>
      <c r="Q84" s="3">
        <f t="shared" si="17"/>
        <v>1070</v>
      </c>
      <c r="R84" s="3"/>
      <c r="S84" s="68">
        <f>-0.0000000030945005*P84^4+0.0000010249690135*P84^3-0.0001305179756368*P84^2+0.0079878274782061*P84+0.0012641886374256</f>
        <v>1.2641886374256E-3</v>
      </c>
    </row>
    <row r="85" spans="8:19" ht="16.5" x14ac:dyDescent="0.35">
      <c r="H85" s="67"/>
      <c r="I85" s="3"/>
      <c r="J85" s="39"/>
      <c r="K85" s="3"/>
      <c r="L85" s="3"/>
      <c r="M85" s="3"/>
      <c r="N85" s="3"/>
      <c r="O85" s="3"/>
      <c r="P85" s="67">
        <f t="shared" si="16"/>
        <v>0</v>
      </c>
      <c r="Q85" s="3">
        <f t="shared" si="17"/>
        <v>1080</v>
      </c>
      <c r="R85" s="3"/>
      <c r="S85" s="68">
        <f>-0.0000000027738693*P85^4+0.0000009246851463*P85^3-0.0001185031570336*P85^2+0.0072869681745214*P85+0.0011774964971938</f>
        <v>1.1774964971937999E-3</v>
      </c>
    </row>
    <row r="86" spans="8:19" ht="16.5" x14ac:dyDescent="0.35">
      <c r="H86" s="73"/>
      <c r="I86" s="11"/>
      <c r="J86" s="11"/>
      <c r="K86" s="11"/>
      <c r="L86" s="11"/>
      <c r="M86" s="11"/>
      <c r="N86" s="11"/>
      <c r="O86" s="11"/>
      <c r="P86" s="67">
        <f t="shared" si="16"/>
        <v>0</v>
      </c>
      <c r="Q86" s="3">
        <f t="shared" si="17"/>
        <v>1090</v>
      </c>
      <c r="R86" s="11"/>
      <c r="S86" s="68">
        <f>-0.000000002593425*P86^4+0.0000008603218391*P86^3-0.0001094739572688*P86^2+0.0066853898387198*P86+0.0011542244995715</f>
        <v>1.1542244995715E-3</v>
      </c>
    </row>
    <row r="87" spans="8:19" ht="16.5" x14ac:dyDescent="0.35">
      <c r="H87" s="74"/>
      <c r="P87" s="67">
        <f t="shared" si="16"/>
        <v>0</v>
      </c>
      <c r="Q87" s="3">
        <f t="shared" si="17"/>
        <v>1100</v>
      </c>
      <c r="S87" s="68">
        <f>-0.0000000023310352*P87^4+0.0000007796431484*P87^3-0.00009982874040812*P87^2+0.0061134405825549*P87+0.0009272724785276</f>
        <v>9.2727247852759996E-4</v>
      </c>
    </row>
    <row r="88" spans="8:19" ht="16.5" x14ac:dyDescent="0.35">
      <c r="H88" s="75"/>
      <c r="I88" s="76"/>
      <c r="J88" s="76"/>
      <c r="K88" s="76"/>
      <c r="L88" s="77"/>
      <c r="M88" s="77"/>
      <c r="N88" s="77"/>
      <c r="O88" s="76"/>
      <c r="P88" s="78">
        <f t="shared" si="16"/>
        <v>0</v>
      </c>
      <c r="Q88" s="79">
        <f t="shared" si="17"/>
        <v>1110</v>
      </c>
      <c r="R88" s="76"/>
      <c r="S88" s="80">
        <f>-0.0000000021340833*P88^4+0.0000007072585172*P88^3-0.0000902185753079*P88^2+0.0055434779001008*P88+0.0011692111538</f>
        <v>1.1692111537999999E-3</v>
      </c>
    </row>
  </sheetData>
  <sheetProtection sheet="1" objects="1" scenarios="1"/>
  <mergeCells count="31">
    <mergeCell ref="A1:F1"/>
    <mergeCell ref="A2:A3"/>
    <mergeCell ref="B2:B3"/>
    <mergeCell ref="C2:C3"/>
    <mergeCell ref="D2:D3"/>
    <mergeCell ref="E2:E3"/>
    <mergeCell ref="F2:F3"/>
    <mergeCell ref="A4:A5"/>
    <mergeCell ref="B4:B5"/>
    <mergeCell ref="F4:F5"/>
    <mergeCell ref="A6:A7"/>
    <mergeCell ref="B6:B7"/>
    <mergeCell ref="F6:F7"/>
    <mergeCell ref="A8:A9"/>
    <mergeCell ref="B8:B9"/>
    <mergeCell ref="F8:F9"/>
    <mergeCell ref="A10:A11"/>
    <mergeCell ref="B10:B11"/>
    <mergeCell ref="F10:F11"/>
    <mergeCell ref="A12:A13"/>
    <mergeCell ref="B12:B13"/>
    <mergeCell ref="F12:F13"/>
    <mergeCell ref="A14:A15"/>
    <mergeCell ref="B14:B15"/>
    <mergeCell ref="F14:F15"/>
    <mergeCell ref="A16:A17"/>
    <mergeCell ref="B16:B17"/>
    <mergeCell ref="F16:F17"/>
    <mergeCell ref="A18:A19"/>
    <mergeCell ref="B18:B19"/>
    <mergeCell ref="F18:F19"/>
  </mergeCells>
  <phoneticPr fontId="0" type="noConversion"/>
  <pageMargins left="0.75" right="0.75" top="1" bottom="1" header="0.51180555555555551" footer="0.51180555555555551"/>
  <pageSetup paperSize="9" firstPageNumber="0" fitToWidth="2" orientation="landscape" horizontalDpi="300" verticalDpi="300" r:id="rId1"/>
  <headerFooter alignWithMargins="0">
    <oddHeader>&amp;L&amp;"Comic Sans MS,Standaard"&amp;8versie 6, februari 2014&amp;R&amp;"Comic Sans MS,Standaard"&amp;8svu/th/whp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802"/>
  <sheetViews>
    <sheetView showZeros="0" workbookViewId="0">
      <selection activeCell="J11" sqref="J11"/>
    </sheetView>
  </sheetViews>
  <sheetFormatPr defaultColWidth="9.140625" defaultRowHeight="15" x14ac:dyDescent="0.3"/>
  <cols>
    <col min="1" max="1" width="9.42578125" style="121" customWidth="1"/>
    <col min="2" max="4" width="9.140625" style="121"/>
    <col min="5" max="5" width="10.7109375" style="121" customWidth="1"/>
    <col min="6" max="16384" width="9.140625" style="121"/>
  </cols>
  <sheetData>
    <row r="1" spans="1:5" x14ac:dyDescent="0.3">
      <c r="D1" s="121" t="s">
        <v>415</v>
      </c>
      <c r="E1" s="121" t="s">
        <v>416</v>
      </c>
    </row>
    <row r="2" spans="1:5" x14ac:dyDescent="0.3">
      <c r="A2" s="121" t="s">
        <v>417</v>
      </c>
      <c r="D2" s="121">
        <v>0</v>
      </c>
      <c r="E2" s="121">
        <f>LOOKUP($D2,tabellen!$E$4:$E$15,tabellen!$D$4:$D$15)</f>
        <v>38</v>
      </c>
    </row>
    <row r="3" spans="1:5" x14ac:dyDescent="0.3">
      <c r="A3" s="132" t="s">
        <v>418</v>
      </c>
      <c r="B3" s="132">
        <f>IF('berekening Wort'!D3&lt;6,1,IF('berekening Wort'!D3&gt;6,2))</f>
        <v>1</v>
      </c>
      <c r="D3" s="121">
        <v>1</v>
      </c>
      <c r="E3" s="121">
        <f>LOOKUP($D3,tabellen!$E$4:$E$15,tabellen!$D$4:$D$15)</f>
        <v>38</v>
      </c>
    </row>
    <row r="4" spans="1:5" x14ac:dyDescent="0.3">
      <c r="A4" s="133" t="s">
        <v>419</v>
      </c>
      <c r="B4" s="132">
        <f>IF('berekening Wort'!D4&lt;30,10,IF('berekening Wort'!D4&gt;30,20))</f>
        <v>10</v>
      </c>
      <c r="D4" s="121">
        <v>2</v>
      </c>
      <c r="E4" s="121">
        <f>LOOKUP($D4,tabellen!$E$4:$E$15,tabellen!$D$4:$D$15)</f>
        <v>38</v>
      </c>
    </row>
    <row r="5" spans="1:5" x14ac:dyDescent="0.3">
      <c r="A5" s="132"/>
      <c r="B5" s="132">
        <f>SUM(B3:B4)</f>
        <v>11</v>
      </c>
      <c r="D5" s="121">
        <v>3</v>
      </c>
      <c r="E5" s="121">
        <f>LOOKUP($D5,tabellen!$E$4:$E$15,tabellen!$D$4:$D$15)</f>
        <v>38</v>
      </c>
    </row>
    <row r="6" spans="1:5" x14ac:dyDescent="0.3">
      <c r="A6" s="121" t="s">
        <v>420</v>
      </c>
      <c r="B6" s="121" t="str">
        <f>IF(B5=11,"A",IF(B5=12,"C",IF(B5=21,"B",IF(B5=22,"D"))))</f>
        <v>A</v>
      </c>
      <c r="D6" s="121">
        <v>4</v>
      </c>
      <c r="E6" s="121">
        <f>LOOKUP($D6,tabellen!$E$4:$E$15,tabellen!$D$4:$D$15)</f>
        <v>38</v>
      </c>
    </row>
    <row r="7" spans="1:5" x14ac:dyDescent="0.3">
      <c r="D7" s="121">
        <v>5</v>
      </c>
      <c r="E7" s="121">
        <f>LOOKUP($D7,tabellen!$E$4:$E$15,tabellen!$D$4:$D$15)</f>
        <v>38</v>
      </c>
    </row>
    <row r="8" spans="1:5" x14ac:dyDescent="0.3">
      <c r="D8" s="121">
        <v>6</v>
      </c>
      <c r="E8" s="121">
        <f>LOOKUP($D8,tabellen!$E$4:$E$15,tabellen!$D$4:$D$15)</f>
        <v>38</v>
      </c>
    </row>
    <row r="9" spans="1:5" x14ac:dyDescent="0.3">
      <c r="D9" s="121">
        <v>7</v>
      </c>
      <c r="E9" s="121">
        <f>LOOKUP($D9,tabellen!$E$4:$E$15,tabellen!$D$4:$D$15)</f>
        <v>38</v>
      </c>
    </row>
    <row r="10" spans="1:5" x14ac:dyDescent="0.3">
      <c r="D10" s="121">
        <v>8</v>
      </c>
      <c r="E10" s="121">
        <f>LOOKUP($D10,tabellen!$E$4:$E$15,tabellen!$D$4:$D$15)</f>
        <v>38</v>
      </c>
    </row>
    <row r="11" spans="1:5" x14ac:dyDescent="0.3">
      <c r="D11" s="121">
        <v>9</v>
      </c>
      <c r="E11" s="121">
        <f>LOOKUP($D11,tabellen!$E$4:$E$15,tabellen!$D$4:$D$15)</f>
        <v>38</v>
      </c>
    </row>
    <row r="12" spans="1:5" x14ac:dyDescent="0.3">
      <c r="D12" s="121">
        <v>10</v>
      </c>
      <c r="E12" s="121">
        <f>LOOKUP($D12,tabellen!$E$4:$E$15,tabellen!$D$4:$D$15)</f>
        <v>38</v>
      </c>
    </row>
    <row r="13" spans="1:5" x14ac:dyDescent="0.3">
      <c r="D13" s="121">
        <v>11</v>
      </c>
      <c r="E13" s="121">
        <f>LOOKUP($D13,tabellen!$E$4:$E$15,tabellen!$D$4:$D$15)</f>
        <v>38</v>
      </c>
    </row>
    <row r="14" spans="1:5" x14ac:dyDescent="0.3">
      <c r="D14" s="121">
        <v>12</v>
      </c>
      <c r="E14" s="121">
        <f>LOOKUP($D14,tabellen!$E$4:$E$15,tabellen!$D$4:$D$15)</f>
        <v>50</v>
      </c>
    </row>
    <row r="15" spans="1:5" x14ac:dyDescent="0.3">
      <c r="D15" s="121">
        <v>13</v>
      </c>
      <c r="E15" s="121">
        <f>LOOKUP($D15,tabellen!$E$4:$E$15,tabellen!$D$4:$D$15)</f>
        <v>50</v>
      </c>
    </row>
    <row r="16" spans="1:5" x14ac:dyDescent="0.3">
      <c r="D16" s="121">
        <v>14</v>
      </c>
      <c r="E16" s="121">
        <f>LOOKUP($D16,tabellen!$E$4:$E$15,tabellen!$D$4:$D$15)</f>
        <v>50</v>
      </c>
    </row>
    <row r="17" spans="4:5" x14ac:dyDescent="0.3">
      <c r="D17" s="121">
        <v>15</v>
      </c>
      <c r="E17" s="121">
        <f>LOOKUP($D17,tabellen!$E$4:$E$15,tabellen!$D$4:$D$15)</f>
        <v>50</v>
      </c>
    </row>
    <row r="18" spans="4:5" x14ac:dyDescent="0.3">
      <c r="D18" s="121">
        <v>16</v>
      </c>
      <c r="E18" s="121">
        <f>LOOKUP($D18,tabellen!$E$4:$E$15,tabellen!$D$4:$D$15)</f>
        <v>50</v>
      </c>
    </row>
    <row r="19" spans="4:5" x14ac:dyDescent="0.3">
      <c r="D19" s="121">
        <v>17</v>
      </c>
      <c r="E19" s="121">
        <f>LOOKUP($D19,tabellen!$E$4:$E$15,tabellen!$D$4:$D$15)</f>
        <v>50</v>
      </c>
    </row>
    <row r="20" spans="4:5" x14ac:dyDescent="0.3">
      <c r="D20" s="121">
        <v>18</v>
      </c>
      <c r="E20" s="121">
        <f>LOOKUP($D20,tabellen!$E$4:$E$15,tabellen!$D$4:$D$15)</f>
        <v>50</v>
      </c>
    </row>
    <row r="21" spans="4:5" x14ac:dyDescent="0.3">
      <c r="D21" s="121">
        <v>19</v>
      </c>
      <c r="E21" s="121">
        <f>LOOKUP($D21,tabellen!$E$4:$E$15,tabellen!$D$4:$D$15)</f>
        <v>50</v>
      </c>
    </row>
    <row r="22" spans="4:5" x14ac:dyDescent="0.3">
      <c r="D22" s="121">
        <v>20</v>
      </c>
      <c r="E22" s="121">
        <f>LOOKUP($D22,tabellen!$E$4:$E$15,tabellen!$D$4:$D$15)</f>
        <v>50</v>
      </c>
    </row>
    <row r="23" spans="4:5" x14ac:dyDescent="0.3">
      <c r="D23" s="121">
        <v>21</v>
      </c>
      <c r="E23" s="121">
        <f>LOOKUP($D23,tabellen!$E$4:$E$15,tabellen!$D$4:$D$15)</f>
        <v>50</v>
      </c>
    </row>
    <row r="24" spans="4:5" x14ac:dyDescent="0.3">
      <c r="D24" s="121">
        <v>22</v>
      </c>
      <c r="E24" s="121">
        <f>LOOKUP($D24,tabellen!$E$4:$E$15,tabellen!$D$4:$D$15)</f>
        <v>50</v>
      </c>
    </row>
    <row r="25" spans="4:5" x14ac:dyDescent="0.3">
      <c r="D25" s="121">
        <v>23</v>
      </c>
      <c r="E25" s="121">
        <f>LOOKUP($D25,tabellen!$E$4:$E$15,tabellen!$D$4:$D$15)</f>
        <v>50</v>
      </c>
    </row>
    <row r="26" spans="4:5" x14ac:dyDescent="0.3">
      <c r="D26" s="121">
        <v>24</v>
      </c>
      <c r="E26" s="121">
        <f>LOOKUP($D26,tabellen!$E$4:$E$15,tabellen!$D$4:$D$15)</f>
        <v>50</v>
      </c>
    </row>
    <row r="27" spans="4:5" x14ac:dyDescent="0.3">
      <c r="D27" s="121">
        <v>25</v>
      </c>
      <c r="E27" s="121">
        <f>LOOKUP($D27,tabellen!$E$4:$E$15,tabellen!$D$4:$D$15)</f>
        <v>50</v>
      </c>
    </row>
    <row r="28" spans="4:5" x14ac:dyDescent="0.3">
      <c r="D28" s="121">
        <v>26</v>
      </c>
      <c r="E28" s="121">
        <f>LOOKUP($D28,tabellen!$E$4:$E$15,tabellen!$D$4:$D$15)</f>
        <v>50</v>
      </c>
    </row>
    <row r="29" spans="4:5" x14ac:dyDescent="0.3">
      <c r="D29" s="121">
        <v>27</v>
      </c>
      <c r="E29" s="121">
        <f>LOOKUP($D29,tabellen!$E$4:$E$15,tabellen!$D$4:$D$15)</f>
        <v>50</v>
      </c>
    </row>
    <row r="30" spans="4:5" x14ac:dyDescent="0.3">
      <c r="D30" s="121">
        <v>28</v>
      </c>
      <c r="E30" s="121">
        <f>LOOKUP($D30,tabellen!$E$4:$E$15,tabellen!$D$4:$D$15)</f>
        <v>50</v>
      </c>
    </row>
    <row r="31" spans="4:5" x14ac:dyDescent="0.3">
      <c r="D31" s="121">
        <v>29</v>
      </c>
      <c r="E31" s="121">
        <f>LOOKUP($D31,tabellen!$E$4:$E$15,tabellen!$D$4:$D$15)</f>
        <v>50</v>
      </c>
    </row>
    <row r="32" spans="4:5" x14ac:dyDescent="0.3">
      <c r="D32" s="121">
        <v>30</v>
      </c>
      <c r="E32" s="121">
        <f>LOOKUP($D32,tabellen!$E$4:$E$15,tabellen!$D$4:$D$15)</f>
        <v>50</v>
      </c>
    </row>
    <row r="33" spans="4:5" x14ac:dyDescent="0.3">
      <c r="D33" s="121">
        <v>31</v>
      </c>
      <c r="E33" s="121">
        <f>LOOKUP($D33,tabellen!$E$4:$E$15,tabellen!$D$4:$D$15)</f>
        <v>50</v>
      </c>
    </row>
    <row r="34" spans="4:5" x14ac:dyDescent="0.3">
      <c r="D34" s="121">
        <v>32</v>
      </c>
      <c r="E34" s="121">
        <f>LOOKUP($D34,tabellen!$E$4:$E$15,tabellen!$D$4:$D$15)</f>
        <v>50</v>
      </c>
    </row>
    <row r="35" spans="4:5" x14ac:dyDescent="0.3">
      <c r="D35" s="121">
        <v>33</v>
      </c>
      <c r="E35" s="121">
        <f>LOOKUP($D35,tabellen!$E$4:$E$15,tabellen!$D$4:$D$15)</f>
        <v>50</v>
      </c>
    </row>
    <row r="36" spans="4:5" x14ac:dyDescent="0.3">
      <c r="D36" s="121">
        <v>34</v>
      </c>
      <c r="E36" s="121">
        <f>LOOKUP($D36,tabellen!$E$4:$E$15,tabellen!$D$4:$D$15)</f>
        <v>50</v>
      </c>
    </row>
    <row r="37" spans="4:5" x14ac:dyDescent="0.3">
      <c r="D37" s="121">
        <v>35</v>
      </c>
      <c r="E37" s="121">
        <f>LOOKUP($D37,tabellen!$E$4:$E$15,tabellen!$D$4:$D$15)</f>
        <v>63</v>
      </c>
    </row>
    <row r="38" spans="4:5" x14ac:dyDescent="0.3">
      <c r="D38" s="121">
        <v>36</v>
      </c>
      <c r="E38" s="121">
        <f>LOOKUP($D38,tabellen!$E$4:$E$15,tabellen!$D$4:$D$15)</f>
        <v>63</v>
      </c>
    </row>
    <row r="39" spans="4:5" x14ac:dyDescent="0.3">
      <c r="D39" s="121">
        <v>37</v>
      </c>
      <c r="E39" s="121">
        <f>LOOKUP($D39,tabellen!$E$4:$E$15,tabellen!$D$4:$D$15)</f>
        <v>63</v>
      </c>
    </row>
    <row r="40" spans="4:5" x14ac:dyDescent="0.3">
      <c r="D40" s="121">
        <v>38</v>
      </c>
      <c r="E40" s="121">
        <f>LOOKUP($D40,tabellen!$E$4:$E$15,tabellen!$D$4:$D$15)</f>
        <v>63</v>
      </c>
    </row>
    <row r="41" spans="4:5" x14ac:dyDescent="0.3">
      <c r="D41" s="121">
        <v>39</v>
      </c>
      <c r="E41" s="121">
        <f>LOOKUP($D41,tabellen!$E$4:$E$15,tabellen!$D$4:$D$15)</f>
        <v>63</v>
      </c>
    </row>
    <row r="42" spans="4:5" x14ac:dyDescent="0.3">
      <c r="D42" s="121">
        <v>40</v>
      </c>
      <c r="E42" s="121">
        <f>LOOKUP($D42,tabellen!$E$4:$E$15,tabellen!$D$4:$D$15)</f>
        <v>63</v>
      </c>
    </row>
    <row r="43" spans="4:5" x14ac:dyDescent="0.3">
      <c r="D43" s="121">
        <v>41</v>
      </c>
      <c r="E43" s="121">
        <f>LOOKUP($D43,tabellen!$E$4:$E$15,tabellen!$D$4:$D$15)</f>
        <v>63</v>
      </c>
    </row>
    <row r="44" spans="4:5" x14ac:dyDescent="0.3">
      <c r="D44" s="121">
        <v>42</v>
      </c>
      <c r="E44" s="121">
        <f>LOOKUP($D44,tabellen!$E$4:$E$15,tabellen!$D$4:$D$15)</f>
        <v>63</v>
      </c>
    </row>
    <row r="45" spans="4:5" x14ac:dyDescent="0.3">
      <c r="D45" s="121">
        <v>43</v>
      </c>
      <c r="E45" s="121">
        <f>LOOKUP($D45,tabellen!$E$4:$E$15,tabellen!$D$4:$D$15)</f>
        <v>63</v>
      </c>
    </row>
    <row r="46" spans="4:5" x14ac:dyDescent="0.3">
      <c r="D46" s="121">
        <v>44</v>
      </c>
      <c r="E46" s="121">
        <f>LOOKUP($D46,tabellen!$E$4:$E$15,tabellen!$D$4:$D$15)</f>
        <v>63</v>
      </c>
    </row>
    <row r="47" spans="4:5" x14ac:dyDescent="0.3">
      <c r="D47" s="121">
        <v>45</v>
      </c>
      <c r="E47" s="121">
        <f>LOOKUP($D47,tabellen!$E$4:$E$15,tabellen!$D$4:$D$15)</f>
        <v>63</v>
      </c>
    </row>
    <row r="48" spans="4:5" x14ac:dyDescent="0.3">
      <c r="D48" s="121">
        <v>46</v>
      </c>
      <c r="E48" s="121">
        <f>LOOKUP($D48,tabellen!$E$4:$E$15,tabellen!$D$4:$D$15)</f>
        <v>63</v>
      </c>
    </row>
    <row r="49" spans="4:5" x14ac:dyDescent="0.3">
      <c r="D49" s="121">
        <v>47</v>
      </c>
      <c r="E49" s="121">
        <f>LOOKUP($D49,tabellen!$E$4:$E$15,tabellen!$D$4:$D$15)</f>
        <v>63</v>
      </c>
    </row>
    <row r="50" spans="4:5" x14ac:dyDescent="0.3">
      <c r="D50" s="121">
        <v>48</v>
      </c>
      <c r="E50" s="121">
        <f>LOOKUP($D50,tabellen!$E$4:$E$15,tabellen!$D$4:$D$15)</f>
        <v>63</v>
      </c>
    </row>
    <row r="51" spans="4:5" x14ac:dyDescent="0.3">
      <c r="D51" s="121">
        <v>49</v>
      </c>
      <c r="E51" s="121">
        <f>LOOKUP($D51,tabellen!$E$4:$E$15,tabellen!$D$4:$D$15)</f>
        <v>63</v>
      </c>
    </row>
    <row r="52" spans="4:5" x14ac:dyDescent="0.3">
      <c r="D52" s="121">
        <v>50</v>
      </c>
      <c r="E52" s="121">
        <f>LOOKUP($D52,tabellen!$E$4:$E$15,tabellen!$D$4:$D$15)</f>
        <v>63</v>
      </c>
    </row>
    <row r="53" spans="4:5" x14ac:dyDescent="0.3">
      <c r="D53" s="121">
        <v>51</v>
      </c>
      <c r="E53" s="121">
        <f>LOOKUP($D53,tabellen!$E$4:$E$15,tabellen!$D$4:$D$15)</f>
        <v>63</v>
      </c>
    </row>
    <row r="54" spans="4:5" x14ac:dyDescent="0.3">
      <c r="D54" s="121">
        <v>52</v>
      </c>
      <c r="E54" s="121">
        <f>LOOKUP($D54,tabellen!$E$4:$E$15,tabellen!$D$4:$D$15)</f>
        <v>63</v>
      </c>
    </row>
    <row r="55" spans="4:5" x14ac:dyDescent="0.3">
      <c r="D55" s="121">
        <v>53</v>
      </c>
      <c r="E55" s="121">
        <f>LOOKUP($D55,tabellen!$E$4:$E$15,tabellen!$D$4:$D$15)</f>
        <v>63</v>
      </c>
    </row>
    <row r="56" spans="4:5" x14ac:dyDescent="0.3">
      <c r="D56" s="121">
        <v>54</v>
      </c>
      <c r="E56" s="121">
        <f>LOOKUP($D56,tabellen!$E$4:$E$15,tabellen!$D$4:$D$15)</f>
        <v>63</v>
      </c>
    </row>
    <row r="57" spans="4:5" x14ac:dyDescent="0.3">
      <c r="D57" s="121">
        <v>55</v>
      </c>
      <c r="E57" s="121">
        <f>LOOKUP($D57,tabellen!$E$4:$E$15,tabellen!$D$4:$D$15)</f>
        <v>63</v>
      </c>
    </row>
    <row r="58" spans="4:5" x14ac:dyDescent="0.3">
      <c r="D58" s="121">
        <v>56</v>
      </c>
      <c r="E58" s="121">
        <f>LOOKUP($D58,tabellen!$E$4:$E$15,tabellen!$D$4:$D$15)</f>
        <v>63</v>
      </c>
    </row>
    <row r="59" spans="4:5" x14ac:dyDescent="0.3">
      <c r="D59" s="121">
        <v>57</v>
      </c>
      <c r="E59" s="121">
        <f>LOOKUP($D59,tabellen!$E$4:$E$15,tabellen!$D$4:$D$15)</f>
        <v>63</v>
      </c>
    </row>
    <row r="60" spans="4:5" x14ac:dyDescent="0.3">
      <c r="D60" s="121">
        <v>58</v>
      </c>
      <c r="E60" s="121">
        <f>LOOKUP($D60,tabellen!$E$4:$E$15,tabellen!$D$4:$D$15)</f>
        <v>63</v>
      </c>
    </row>
    <row r="61" spans="4:5" x14ac:dyDescent="0.3">
      <c r="D61" s="121">
        <v>59</v>
      </c>
      <c r="E61" s="121">
        <f>LOOKUP($D61,tabellen!$E$4:$E$15,tabellen!$D$4:$D$15)</f>
        <v>63</v>
      </c>
    </row>
    <row r="62" spans="4:5" x14ac:dyDescent="0.3">
      <c r="D62" s="121">
        <v>60</v>
      </c>
      <c r="E62" s="121">
        <f>LOOKUP($D62,tabellen!$E$4:$E$15,tabellen!$D$4:$D$15)</f>
        <v>63</v>
      </c>
    </row>
    <row r="63" spans="4:5" x14ac:dyDescent="0.3">
      <c r="D63" s="121">
        <v>61</v>
      </c>
      <c r="E63" s="121">
        <f>LOOKUP($D63,tabellen!$E$4:$E$15,tabellen!$D$4:$D$15)</f>
        <v>63</v>
      </c>
    </row>
    <row r="64" spans="4:5" x14ac:dyDescent="0.3">
      <c r="D64" s="121">
        <v>62</v>
      </c>
      <c r="E64" s="121">
        <f>LOOKUP($D64,tabellen!$E$4:$E$15,tabellen!$D$4:$D$15)</f>
        <v>63</v>
      </c>
    </row>
    <row r="65" spans="4:5" x14ac:dyDescent="0.3">
      <c r="D65" s="121">
        <v>63</v>
      </c>
      <c r="E65" s="121">
        <f>LOOKUP($D65,tabellen!$E$4:$E$15,tabellen!$D$4:$D$15)</f>
        <v>63</v>
      </c>
    </row>
    <row r="66" spans="4:5" x14ac:dyDescent="0.3">
      <c r="D66" s="121">
        <v>64</v>
      </c>
      <c r="E66" s="121">
        <f>LOOKUP($D66,tabellen!$E$4:$E$15,tabellen!$D$4:$D$15)</f>
        <v>63</v>
      </c>
    </row>
    <row r="67" spans="4:5" x14ac:dyDescent="0.3">
      <c r="D67" s="121">
        <v>65</v>
      </c>
      <c r="E67" s="121">
        <f>LOOKUP($D67,tabellen!$E$4:$E$15,tabellen!$D$4:$D$15)</f>
        <v>63</v>
      </c>
    </row>
    <row r="68" spans="4:5" x14ac:dyDescent="0.3">
      <c r="D68" s="121">
        <v>66</v>
      </c>
      <c r="E68" s="121">
        <f>LOOKUP($D68,tabellen!$E$4:$E$15,tabellen!$D$4:$D$15)</f>
        <v>63</v>
      </c>
    </row>
    <row r="69" spans="4:5" x14ac:dyDescent="0.3">
      <c r="D69" s="121">
        <v>67</v>
      </c>
      <c r="E69" s="121">
        <f>LOOKUP($D69,tabellen!$E$4:$E$15,tabellen!$D$4:$D$15)</f>
        <v>63</v>
      </c>
    </row>
    <row r="70" spans="4:5" x14ac:dyDescent="0.3">
      <c r="D70" s="121">
        <v>68</v>
      </c>
      <c r="E70" s="121">
        <f>LOOKUP($D70,tabellen!$E$4:$E$15,tabellen!$D$4:$D$15)</f>
        <v>63</v>
      </c>
    </row>
    <row r="71" spans="4:5" x14ac:dyDescent="0.3">
      <c r="D71" s="121">
        <v>69</v>
      </c>
      <c r="E71" s="121">
        <f>LOOKUP($D71,tabellen!$E$4:$E$15,tabellen!$D$4:$D$15)</f>
        <v>63</v>
      </c>
    </row>
    <row r="72" spans="4:5" x14ac:dyDescent="0.3">
      <c r="D72" s="121">
        <v>70</v>
      </c>
      <c r="E72" s="121">
        <f>LOOKUP($D72,tabellen!$E$4:$E$15,tabellen!$D$4:$D$15)</f>
        <v>63</v>
      </c>
    </row>
    <row r="73" spans="4:5" x14ac:dyDescent="0.3">
      <c r="D73" s="121">
        <v>71</v>
      </c>
      <c r="E73" s="121">
        <f>LOOKUP($D73,tabellen!$E$4:$E$15,tabellen!$D$4:$D$15)</f>
        <v>63</v>
      </c>
    </row>
    <row r="74" spans="4:5" x14ac:dyDescent="0.3">
      <c r="D74" s="121">
        <v>72</v>
      </c>
      <c r="E74" s="121">
        <f>LOOKUP($D74,tabellen!$E$4:$E$15,tabellen!$D$4:$D$15)</f>
        <v>63</v>
      </c>
    </row>
    <row r="75" spans="4:5" x14ac:dyDescent="0.3">
      <c r="D75" s="121">
        <v>73</v>
      </c>
      <c r="E75" s="121">
        <f>LOOKUP($D75,tabellen!$E$4:$E$15,tabellen!$D$4:$D$15)</f>
        <v>63</v>
      </c>
    </row>
    <row r="76" spans="4:5" x14ac:dyDescent="0.3">
      <c r="D76" s="121">
        <v>74</v>
      </c>
      <c r="E76" s="121">
        <f>LOOKUP($D76,tabellen!$E$4:$E$15,tabellen!$D$4:$D$15)</f>
        <v>63</v>
      </c>
    </row>
    <row r="77" spans="4:5" x14ac:dyDescent="0.3">
      <c r="D77" s="121">
        <v>75</v>
      </c>
      <c r="E77" s="121">
        <f>LOOKUP($D77,tabellen!$E$4:$E$15,tabellen!$D$4:$D$15)</f>
        <v>63</v>
      </c>
    </row>
    <row r="78" spans="4:5" x14ac:dyDescent="0.3">
      <c r="D78" s="121">
        <v>76</v>
      </c>
      <c r="E78" s="121">
        <f>LOOKUP($D78,tabellen!$E$4:$E$15,tabellen!$D$4:$D$15)</f>
        <v>63</v>
      </c>
    </row>
    <row r="79" spans="4:5" x14ac:dyDescent="0.3">
      <c r="D79" s="121">
        <v>77</v>
      </c>
      <c r="E79" s="121">
        <f>LOOKUP($D79,tabellen!$E$4:$E$15,tabellen!$D$4:$D$15)</f>
        <v>63</v>
      </c>
    </row>
    <row r="80" spans="4:5" x14ac:dyDescent="0.3">
      <c r="D80" s="121">
        <v>78</v>
      </c>
      <c r="E80" s="121">
        <f>LOOKUP($D80,tabellen!$E$4:$E$15,tabellen!$D$4:$D$15)</f>
        <v>63</v>
      </c>
    </row>
    <row r="81" spans="4:5" x14ac:dyDescent="0.3">
      <c r="D81" s="121">
        <v>79</v>
      </c>
      <c r="E81" s="121">
        <f>LOOKUP($D81,tabellen!$E$4:$E$15,tabellen!$D$4:$D$15)</f>
        <v>63</v>
      </c>
    </row>
    <row r="82" spans="4:5" x14ac:dyDescent="0.3">
      <c r="D82" s="121">
        <v>80</v>
      </c>
      <c r="E82" s="121">
        <f>LOOKUP($D82,tabellen!$E$4:$E$15,tabellen!$D$4:$D$15)</f>
        <v>63</v>
      </c>
    </row>
    <row r="83" spans="4:5" x14ac:dyDescent="0.3">
      <c r="D83" s="121">
        <v>81</v>
      </c>
      <c r="E83" s="121">
        <f>LOOKUP($D83,tabellen!$E$4:$E$15,tabellen!$D$4:$D$15)</f>
        <v>63</v>
      </c>
    </row>
    <row r="84" spans="4:5" x14ac:dyDescent="0.3">
      <c r="D84" s="121">
        <v>82</v>
      </c>
      <c r="E84" s="121">
        <f>LOOKUP($D84,tabellen!$E$4:$E$15,tabellen!$D$4:$D$15)</f>
        <v>63</v>
      </c>
    </row>
    <row r="85" spans="4:5" x14ac:dyDescent="0.3">
      <c r="D85" s="121">
        <v>83</v>
      </c>
      <c r="E85" s="121">
        <f>LOOKUP($D85,tabellen!$E$4:$E$15,tabellen!$D$4:$D$15)</f>
        <v>63</v>
      </c>
    </row>
    <row r="86" spans="4:5" x14ac:dyDescent="0.3">
      <c r="D86" s="121">
        <v>84</v>
      </c>
      <c r="E86" s="121">
        <f>LOOKUP($D86,tabellen!$E$4:$E$15,tabellen!$D$4:$D$15)</f>
        <v>63</v>
      </c>
    </row>
    <row r="87" spans="4:5" x14ac:dyDescent="0.3">
      <c r="D87" s="121">
        <v>85</v>
      </c>
      <c r="E87" s="121">
        <f>LOOKUP($D87,tabellen!$E$4:$E$15,tabellen!$D$4:$D$15)</f>
        <v>63</v>
      </c>
    </row>
    <row r="88" spans="4:5" x14ac:dyDescent="0.3">
      <c r="D88" s="121">
        <v>86</v>
      </c>
      <c r="E88" s="121">
        <f>LOOKUP($D88,tabellen!$E$4:$E$15,tabellen!$D$4:$D$15)</f>
        <v>63</v>
      </c>
    </row>
    <row r="89" spans="4:5" x14ac:dyDescent="0.3">
      <c r="D89" s="121">
        <v>87</v>
      </c>
      <c r="E89" s="121">
        <f>LOOKUP($D89,tabellen!$E$4:$E$15,tabellen!$D$4:$D$15)</f>
        <v>63</v>
      </c>
    </row>
    <row r="90" spans="4:5" x14ac:dyDescent="0.3">
      <c r="D90" s="121">
        <v>88</v>
      </c>
      <c r="E90" s="121">
        <f>LOOKUP($D90,tabellen!$E$4:$E$15,tabellen!$D$4:$D$15)</f>
        <v>63</v>
      </c>
    </row>
    <row r="91" spans="4:5" x14ac:dyDescent="0.3">
      <c r="D91" s="121">
        <v>89</v>
      </c>
      <c r="E91" s="121">
        <f>LOOKUP($D91,tabellen!$E$4:$E$15,tabellen!$D$4:$D$15)</f>
        <v>72</v>
      </c>
    </row>
    <row r="92" spans="4:5" x14ac:dyDescent="0.3">
      <c r="D92" s="121">
        <v>90</v>
      </c>
      <c r="E92" s="121">
        <f>LOOKUP($D92,tabellen!$E$4:$E$15,tabellen!$D$4:$D$15)</f>
        <v>72</v>
      </c>
    </row>
    <row r="93" spans="4:5" x14ac:dyDescent="0.3">
      <c r="D93" s="121">
        <v>91</v>
      </c>
      <c r="E93" s="121">
        <f>LOOKUP($D93,tabellen!$E$4:$E$15,tabellen!$D$4:$D$15)</f>
        <v>72</v>
      </c>
    </row>
    <row r="94" spans="4:5" x14ac:dyDescent="0.3">
      <c r="D94" s="121">
        <v>92</v>
      </c>
      <c r="E94" s="121">
        <f>LOOKUP($D94,tabellen!$E$4:$E$15,tabellen!$D$4:$D$15)</f>
        <v>72</v>
      </c>
    </row>
    <row r="95" spans="4:5" x14ac:dyDescent="0.3">
      <c r="D95" s="121">
        <v>93</v>
      </c>
      <c r="E95" s="121">
        <f>LOOKUP($D95,tabellen!$E$4:$E$15,tabellen!$D$4:$D$15)</f>
        <v>72</v>
      </c>
    </row>
    <row r="96" spans="4:5" x14ac:dyDescent="0.3">
      <c r="D96" s="121">
        <v>94</v>
      </c>
      <c r="E96" s="121">
        <f>LOOKUP($D96,tabellen!$E$4:$E$15,tabellen!$D$4:$D$15)</f>
        <v>72</v>
      </c>
    </row>
    <row r="97" spans="4:5" x14ac:dyDescent="0.3">
      <c r="D97" s="121">
        <v>95</v>
      </c>
      <c r="E97" s="121">
        <f>LOOKUP($D97,tabellen!$E$4:$E$15,tabellen!$D$4:$D$15)</f>
        <v>72</v>
      </c>
    </row>
    <row r="98" spans="4:5" x14ac:dyDescent="0.3">
      <c r="D98" s="121">
        <v>96</v>
      </c>
      <c r="E98" s="121">
        <f>LOOKUP($D98,tabellen!$E$4:$E$15,tabellen!$D$4:$D$15)</f>
        <v>72</v>
      </c>
    </row>
    <row r="99" spans="4:5" x14ac:dyDescent="0.3">
      <c r="D99" s="121">
        <v>97</v>
      </c>
      <c r="E99" s="121">
        <f>LOOKUP($D99,tabellen!$E$4:$E$15,tabellen!$D$4:$D$15)</f>
        <v>72</v>
      </c>
    </row>
    <row r="100" spans="4:5" x14ac:dyDescent="0.3">
      <c r="D100" s="121">
        <v>98</v>
      </c>
      <c r="E100" s="121">
        <f>LOOKUP($D100,tabellen!$E$4:$E$15,tabellen!$D$4:$D$15)</f>
        <v>72</v>
      </c>
    </row>
    <row r="101" spans="4:5" x14ac:dyDescent="0.3">
      <c r="D101" s="121">
        <v>99</v>
      </c>
      <c r="E101" s="121">
        <f>LOOKUP($D101,tabellen!$E$4:$E$15,tabellen!$D$4:$D$15)</f>
        <v>72</v>
      </c>
    </row>
    <row r="102" spans="4:5" x14ac:dyDescent="0.3">
      <c r="D102" s="121">
        <v>100</v>
      </c>
      <c r="E102" s="121">
        <f>LOOKUP($D102,tabellen!$E$4:$E$15,tabellen!$D$4:$D$15)</f>
        <v>72</v>
      </c>
    </row>
    <row r="103" spans="4:5" x14ac:dyDescent="0.3">
      <c r="D103" s="121">
        <v>101</v>
      </c>
      <c r="E103" s="121">
        <f>LOOKUP($D103,tabellen!$E$4:$E$15,tabellen!$D$4:$D$15)</f>
        <v>72</v>
      </c>
    </row>
    <row r="104" spans="4:5" x14ac:dyDescent="0.3">
      <c r="D104" s="121">
        <v>102</v>
      </c>
      <c r="E104" s="121">
        <f>LOOKUP($D104,tabellen!$E$4:$E$15,tabellen!$D$4:$D$15)</f>
        <v>72</v>
      </c>
    </row>
    <row r="105" spans="4:5" x14ac:dyDescent="0.3">
      <c r="D105" s="121">
        <v>103</v>
      </c>
      <c r="E105" s="121">
        <f>LOOKUP($D105,tabellen!$E$4:$E$15,tabellen!$D$4:$D$15)</f>
        <v>72</v>
      </c>
    </row>
    <row r="106" spans="4:5" x14ac:dyDescent="0.3">
      <c r="D106" s="121">
        <v>104</v>
      </c>
      <c r="E106" s="121">
        <f>LOOKUP($D106,tabellen!$E$4:$E$15,tabellen!$D$4:$D$15)</f>
        <v>72</v>
      </c>
    </row>
    <row r="107" spans="4:5" x14ac:dyDescent="0.3">
      <c r="D107" s="121">
        <v>105</v>
      </c>
      <c r="E107" s="121">
        <f>LOOKUP($D107,tabellen!$E$4:$E$15,tabellen!$D$4:$D$15)</f>
        <v>72</v>
      </c>
    </row>
    <row r="108" spans="4:5" x14ac:dyDescent="0.3">
      <c r="D108" s="121">
        <v>106</v>
      </c>
      <c r="E108" s="121">
        <f>LOOKUP($D108,tabellen!$E$4:$E$15,tabellen!$D$4:$D$15)</f>
        <v>72</v>
      </c>
    </row>
    <row r="109" spans="4:5" x14ac:dyDescent="0.3">
      <c r="D109" s="121">
        <v>107</v>
      </c>
      <c r="E109" s="121">
        <f>LOOKUP($D109,tabellen!$E$4:$E$15,tabellen!$D$4:$D$15)</f>
        <v>72</v>
      </c>
    </row>
    <row r="110" spans="4:5" x14ac:dyDescent="0.3">
      <c r="D110" s="121">
        <v>108</v>
      </c>
      <c r="E110" s="121">
        <f>LOOKUP($D110,tabellen!$E$4:$E$15,tabellen!$D$4:$D$15)</f>
        <v>72</v>
      </c>
    </row>
    <row r="111" spans="4:5" x14ac:dyDescent="0.3">
      <c r="D111" s="121">
        <v>109</v>
      </c>
      <c r="E111" s="121">
        <f>LOOKUP($D111,tabellen!$E$4:$E$15,tabellen!$D$4:$D$15)</f>
        <v>72</v>
      </c>
    </row>
    <row r="112" spans="4:5" x14ac:dyDescent="0.3">
      <c r="D112" s="121">
        <v>110</v>
      </c>
      <c r="E112" s="121">
        <f>LOOKUP($D112,tabellen!$E$4:$E$15,tabellen!$D$4:$D$15)</f>
        <v>72</v>
      </c>
    </row>
    <row r="113" spans="4:5" x14ac:dyDescent="0.3">
      <c r="D113" s="121">
        <v>111</v>
      </c>
      <c r="E113" s="121">
        <f>LOOKUP($D113,tabellen!$E$4:$E$15,tabellen!$D$4:$D$15)</f>
        <v>72</v>
      </c>
    </row>
    <row r="114" spans="4:5" x14ac:dyDescent="0.3">
      <c r="D114" s="121">
        <v>112</v>
      </c>
      <c r="E114" s="121">
        <f>LOOKUP($D114,tabellen!$E$4:$E$15,tabellen!$D$4:$D$15)</f>
        <v>72</v>
      </c>
    </row>
    <row r="115" spans="4:5" x14ac:dyDescent="0.3">
      <c r="D115" s="121">
        <v>113</v>
      </c>
      <c r="E115" s="121">
        <f>LOOKUP($D115,tabellen!$E$4:$E$15,tabellen!$D$4:$D$15)</f>
        <v>72</v>
      </c>
    </row>
    <row r="116" spans="4:5" x14ac:dyDescent="0.3">
      <c r="D116" s="121">
        <v>114</v>
      </c>
      <c r="E116" s="121">
        <f>LOOKUP($D116,tabellen!$E$4:$E$15,tabellen!$D$4:$D$15)</f>
        <v>72</v>
      </c>
    </row>
    <row r="117" spans="4:5" x14ac:dyDescent="0.3">
      <c r="D117" s="121">
        <v>115</v>
      </c>
      <c r="E117" s="121">
        <f>LOOKUP($D117,tabellen!$E$4:$E$15,tabellen!$D$4:$D$15)</f>
        <v>72</v>
      </c>
    </row>
    <row r="118" spans="4:5" x14ac:dyDescent="0.3">
      <c r="D118" s="121">
        <v>116</v>
      </c>
      <c r="E118" s="121">
        <f>LOOKUP($D118,tabellen!$E$4:$E$15,tabellen!$D$4:$D$15)</f>
        <v>72</v>
      </c>
    </row>
    <row r="119" spans="4:5" x14ac:dyDescent="0.3">
      <c r="D119" s="121">
        <v>117</v>
      </c>
      <c r="E119" s="121">
        <f>LOOKUP($D119,tabellen!$E$4:$E$15,tabellen!$D$4:$D$15)</f>
        <v>72</v>
      </c>
    </row>
    <row r="120" spans="4:5" x14ac:dyDescent="0.3">
      <c r="D120" s="121">
        <v>118</v>
      </c>
      <c r="E120" s="121">
        <f>LOOKUP($D120,tabellen!$E$4:$E$15,tabellen!$D$4:$D$15)</f>
        <v>72</v>
      </c>
    </row>
    <row r="121" spans="4:5" x14ac:dyDescent="0.3">
      <c r="D121" s="121">
        <v>119</v>
      </c>
      <c r="E121" s="121">
        <f>LOOKUP($D121,tabellen!$E$4:$E$15,tabellen!$D$4:$D$15)</f>
        <v>72</v>
      </c>
    </row>
    <row r="122" spans="4:5" x14ac:dyDescent="0.3">
      <c r="D122" s="121">
        <v>120</v>
      </c>
      <c r="E122" s="121">
        <f>LOOKUP($D122,tabellen!$E$4:$E$15,tabellen!$D$4:$D$15)</f>
        <v>72</v>
      </c>
    </row>
    <row r="123" spans="4:5" x14ac:dyDescent="0.3">
      <c r="D123" s="121">
        <v>121</v>
      </c>
      <c r="E123" s="121">
        <f>LOOKUP($D123,tabellen!$E$4:$E$15,tabellen!$D$4:$D$15)</f>
        <v>72</v>
      </c>
    </row>
    <row r="124" spans="4:5" x14ac:dyDescent="0.3">
      <c r="D124" s="121">
        <v>122</v>
      </c>
      <c r="E124" s="121">
        <f>LOOKUP($D124,tabellen!$E$4:$E$15,tabellen!$D$4:$D$15)</f>
        <v>72</v>
      </c>
    </row>
    <row r="125" spans="4:5" x14ac:dyDescent="0.3">
      <c r="D125" s="121">
        <v>123</v>
      </c>
      <c r="E125" s="121">
        <f>LOOKUP($D125,tabellen!$E$4:$E$15,tabellen!$D$4:$D$15)</f>
        <v>72</v>
      </c>
    </row>
    <row r="126" spans="4:5" x14ac:dyDescent="0.3">
      <c r="D126" s="121">
        <v>124</v>
      </c>
      <c r="E126" s="121">
        <f>LOOKUP($D126,tabellen!$E$4:$E$15,tabellen!$D$4:$D$15)</f>
        <v>72</v>
      </c>
    </row>
    <row r="127" spans="4:5" x14ac:dyDescent="0.3">
      <c r="D127" s="121">
        <v>125</v>
      </c>
      <c r="E127" s="121">
        <f>LOOKUP($D127,tabellen!$E$4:$E$15,tabellen!$D$4:$D$15)</f>
        <v>72</v>
      </c>
    </row>
    <row r="128" spans="4:5" x14ac:dyDescent="0.3">
      <c r="D128" s="121">
        <v>126</v>
      </c>
      <c r="E128" s="121">
        <f>LOOKUP($D128,tabellen!$E$4:$E$15,tabellen!$D$4:$D$15)</f>
        <v>72</v>
      </c>
    </row>
    <row r="129" spans="4:5" x14ac:dyDescent="0.3">
      <c r="D129" s="121">
        <v>127</v>
      </c>
      <c r="E129" s="121">
        <f>LOOKUP($D129,tabellen!$E$4:$E$15,tabellen!$D$4:$D$15)</f>
        <v>72</v>
      </c>
    </row>
    <row r="130" spans="4:5" x14ac:dyDescent="0.3">
      <c r="D130" s="121">
        <v>128</v>
      </c>
      <c r="E130" s="121">
        <f>LOOKUP($D130,tabellen!$E$4:$E$15,tabellen!$D$4:$D$15)</f>
        <v>72</v>
      </c>
    </row>
    <row r="131" spans="4:5" x14ac:dyDescent="0.3">
      <c r="D131" s="121">
        <v>129</v>
      </c>
      <c r="E131" s="121">
        <f>LOOKUP($D131,tabellen!$E$4:$E$15,tabellen!$D$4:$D$15)</f>
        <v>72</v>
      </c>
    </row>
    <row r="132" spans="4:5" x14ac:dyDescent="0.3">
      <c r="D132" s="121">
        <v>130</v>
      </c>
      <c r="E132" s="121">
        <f>LOOKUP($D132,tabellen!$E$4:$E$15,tabellen!$D$4:$D$15)</f>
        <v>78</v>
      </c>
    </row>
    <row r="133" spans="4:5" x14ac:dyDescent="0.3">
      <c r="D133" s="121">
        <v>131</v>
      </c>
      <c r="E133" s="121">
        <f>LOOKUP($D133,tabellen!$E$4:$E$15,tabellen!$D$4:$D$15)</f>
        <v>78</v>
      </c>
    </row>
    <row r="134" spans="4:5" x14ac:dyDescent="0.3">
      <c r="D134" s="121">
        <v>132</v>
      </c>
      <c r="E134" s="121">
        <f>LOOKUP($D134,tabellen!$E$4:$E$15,tabellen!$D$4:$D$15)</f>
        <v>78</v>
      </c>
    </row>
    <row r="135" spans="4:5" x14ac:dyDescent="0.3">
      <c r="D135" s="121">
        <v>133</v>
      </c>
      <c r="E135" s="121">
        <f>LOOKUP($D135,tabellen!$E$4:$E$15,tabellen!$D$4:$D$15)</f>
        <v>78</v>
      </c>
    </row>
    <row r="136" spans="4:5" x14ac:dyDescent="0.3">
      <c r="D136" s="121">
        <v>134</v>
      </c>
      <c r="E136" s="121">
        <f>LOOKUP($D136,tabellen!$E$4:$E$15,tabellen!$D$4:$D$15)</f>
        <v>78</v>
      </c>
    </row>
    <row r="137" spans="4:5" x14ac:dyDescent="0.3">
      <c r="D137" s="121">
        <v>135</v>
      </c>
      <c r="E137" s="121">
        <f>LOOKUP($D137,tabellen!$E$4:$E$15,tabellen!$D$4:$D$15)</f>
        <v>78</v>
      </c>
    </row>
    <row r="138" spans="4:5" x14ac:dyDescent="0.3">
      <c r="D138" s="121">
        <v>136</v>
      </c>
      <c r="E138" s="121">
        <f>LOOKUP($D138,tabellen!$E$4:$E$15,tabellen!$D$4:$D$15)</f>
        <v>78</v>
      </c>
    </row>
    <row r="139" spans="4:5" x14ac:dyDescent="0.3">
      <c r="D139" s="121">
        <v>137</v>
      </c>
      <c r="E139" s="121">
        <f>LOOKUP($D139,tabellen!$E$4:$E$15,tabellen!$D$4:$D$15)</f>
        <v>78</v>
      </c>
    </row>
    <row r="140" spans="4:5" x14ac:dyDescent="0.3">
      <c r="D140" s="121">
        <v>138</v>
      </c>
      <c r="E140" s="121">
        <f>LOOKUP($D140,tabellen!$E$4:$E$15,tabellen!$D$4:$D$15)</f>
        <v>78</v>
      </c>
    </row>
    <row r="141" spans="4:5" x14ac:dyDescent="0.3">
      <c r="D141" s="121">
        <v>139</v>
      </c>
      <c r="E141" s="121">
        <f>LOOKUP($D141,tabellen!$E$4:$E$15,tabellen!$D$4:$D$15)</f>
        <v>78</v>
      </c>
    </row>
    <row r="142" spans="4:5" x14ac:dyDescent="0.3">
      <c r="D142" s="121">
        <v>140</v>
      </c>
      <c r="E142" s="121">
        <f>LOOKUP($D142,tabellen!$E$4:$E$15,tabellen!$D$4:$D$15)</f>
        <v>78</v>
      </c>
    </row>
    <row r="143" spans="4:5" x14ac:dyDescent="0.3">
      <c r="D143" s="121">
        <v>141</v>
      </c>
      <c r="E143" s="121">
        <f>LOOKUP($D143,tabellen!$E$4:$E$15,tabellen!$D$4:$D$15)</f>
        <v>78</v>
      </c>
    </row>
    <row r="144" spans="4:5" x14ac:dyDescent="0.3">
      <c r="D144" s="121">
        <v>142</v>
      </c>
      <c r="E144" s="121">
        <f>LOOKUP($D144,tabellen!$E$4:$E$15,tabellen!$D$4:$D$15)</f>
        <v>78</v>
      </c>
    </row>
    <row r="145" spans="4:5" x14ac:dyDescent="0.3">
      <c r="D145" s="121">
        <v>143</v>
      </c>
      <c r="E145" s="121">
        <f>LOOKUP($D145,tabellen!$E$4:$E$15,tabellen!$D$4:$D$15)</f>
        <v>78</v>
      </c>
    </row>
    <row r="146" spans="4:5" x14ac:dyDescent="0.3">
      <c r="D146" s="121">
        <v>144</v>
      </c>
      <c r="E146" s="121">
        <f>LOOKUP($D146,tabellen!$E$4:$E$15,tabellen!$D$4:$D$15)</f>
        <v>78</v>
      </c>
    </row>
    <row r="147" spans="4:5" x14ac:dyDescent="0.3">
      <c r="D147" s="121">
        <v>145</v>
      </c>
      <c r="E147" s="121">
        <f>LOOKUP($D147,tabellen!$E$4:$E$15,tabellen!$D$4:$D$15)</f>
        <v>78</v>
      </c>
    </row>
    <row r="148" spans="4:5" x14ac:dyDescent="0.3">
      <c r="D148" s="121">
        <v>146</v>
      </c>
      <c r="E148" s="121">
        <f>LOOKUP($D148,tabellen!$E$4:$E$15,tabellen!$D$4:$D$15)</f>
        <v>78</v>
      </c>
    </row>
    <row r="149" spans="4:5" x14ac:dyDescent="0.3">
      <c r="D149" s="121">
        <v>147</v>
      </c>
      <c r="E149" s="121">
        <f>LOOKUP($D149,tabellen!$E$4:$E$15,tabellen!$D$4:$D$15)</f>
        <v>78</v>
      </c>
    </row>
    <row r="150" spans="4:5" x14ac:dyDescent="0.3">
      <c r="D150" s="121">
        <v>148</v>
      </c>
      <c r="E150" s="121">
        <f>LOOKUP($D150,tabellen!$E$4:$E$15,tabellen!$D$4:$D$15)</f>
        <v>78</v>
      </c>
    </row>
    <row r="151" spans="4:5" x14ac:dyDescent="0.3">
      <c r="D151" s="121">
        <v>149</v>
      </c>
      <c r="E151" s="121">
        <f>LOOKUP($D151,tabellen!$E$4:$E$15,tabellen!$D$4:$D$15)</f>
        <v>78</v>
      </c>
    </row>
    <row r="152" spans="4:5" x14ac:dyDescent="0.3">
      <c r="D152" s="121">
        <v>150</v>
      </c>
      <c r="E152" s="121">
        <f>LOOKUP($D152,tabellen!$E$4:$E$15,tabellen!$D$4:$D$15)</f>
        <v>78</v>
      </c>
    </row>
    <row r="153" spans="4:5" x14ac:dyDescent="0.3">
      <c r="D153" s="121">
        <v>151</v>
      </c>
      <c r="E153" s="121">
        <f>LOOKUP($D153,tabellen!$E$4:$E$15,tabellen!$D$4:$D$15)</f>
        <v>78</v>
      </c>
    </row>
    <row r="154" spans="4:5" x14ac:dyDescent="0.3">
      <c r="D154" s="121">
        <v>152</v>
      </c>
      <c r="E154" s="121">
        <f>LOOKUP($D154,tabellen!$E$4:$E$15,tabellen!$D$4:$D$15)</f>
        <v>78</v>
      </c>
    </row>
    <row r="155" spans="4:5" x14ac:dyDescent="0.3">
      <c r="D155" s="121">
        <v>153</v>
      </c>
      <c r="E155" s="121">
        <f>LOOKUP($D155,tabellen!$E$4:$E$15,tabellen!$D$4:$D$15)</f>
        <v>78</v>
      </c>
    </row>
    <row r="156" spans="4:5" x14ac:dyDescent="0.3">
      <c r="D156" s="121">
        <v>154</v>
      </c>
      <c r="E156" s="121">
        <f>LOOKUP($D156,tabellen!$E$4:$E$15,tabellen!$D$4:$D$15)</f>
        <v>78</v>
      </c>
    </row>
    <row r="157" spans="4:5" x14ac:dyDescent="0.3">
      <c r="D157" s="121">
        <v>155</v>
      </c>
      <c r="E157" s="121">
        <f>LOOKUP($D157,tabellen!$E$4:$E$15,tabellen!$D$4:$D$15)</f>
        <v>78</v>
      </c>
    </row>
    <row r="158" spans="4:5" x14ac:dyDescent="0.3">
      <c r="D158" s="121">
        <v>156</v>
      </c>
      <c r="E158" s="121">
        <f>LOOKUP($D158,tabellen!$E$4:$E$15,tabellen!$D$4:$D$15)</f>
        <v>78</v>
      </c>
    </row>
    <row r="159" spans="4:5" x14ac:dyDescent="0.3">
      <c r="D159" s="121">
        <v>157</v>
      </c>
      <c r="E159" s="121">
        <f>LOOKUP($D159,tabellen!$E$4:$E$15,tabellen!$D$4:$D$15)</f>
        <v>78</v>
      </c>
    </row>
    <row r="160" spans="4:5" x14ac:dyDescent="0.3">
      <c r="D160" s="121">
        <v>158</v>
      </c>
      <c r="E160" s="121">
        <f>LOOKUP($D160,tabellen!$E$4:$E$15,tabellen!$D$4:$D$15)</f>
        <v>78</v>
      </c>
    </row>
    <row r="161" spans="4:5" x14ac:dyDescent="0.3">
      <c r="D161" s="121">
        <v>159</v>
      </c>
      <c r="E161" s="121">
        <f>LOOKUP($D161,tabellen!$E$4:$E$15,tabellen!$D$4:$D$15)</f>
        <v>78</v>
      </c>
    </row>
    <row r="162" spans="4:5" x14ac:dyDescent="0.3">
      <c r="D162" s="121">
        <v>160</v>
      </c>
      <c r="E162" s="121">
        <f>LOOKUP($D162,tabellen!$E$4:$E$15,tabellen!$D$4:$D$15)</f>
        <v>78</v>
      </c>
    </row>
    <row r="163" spans="4:5" x14ac:dyDescent="0.3">
      <c r="D163" s="121">
        <v>161</v>
      </c>
      <c r="E163" s="121">
        <f>LOOKUP($D163,tabellen!$E$4:$E$15,tabellen!$D$4:$D$15)</f>
        <v>78</v>
      </c>
    </row>
    <row r="164" spans="4:5" x14ac:dyDescent="0.3">
      <c r="D164" s="121">
        <v>162</v>
      </c>
      <c r="E164" s="121">
        <f>LOOKUP($D164,tabellen!$E$4:$E$15,tabellen!$D$4:$D$15)</f>
        <v>78</v>
      </c>
    </row>
    <row r="165" spans="4:5" x14ac:dyDescent="0.3">
      <c r="D165" s="121">
        <v>163</v>
      </c>
      <c r="E165" s="121">
        <f>LOOKUP($D165,tabellen!$E$4:$E$15,tabellen!$D$4:$D$15)</f>
        <v>78</v>
      </c>
    </row>
    <row r="166" spans="4:5" x14ac:dyDescent="0.3">
      <c r="D166" s="121">
        <v>164</v>
      </c>
      <c r="E166" s="121">
        <f>LOOKUP($D166,tabellen!$E$4:$E$15,tabellen!$D$4:$D$15)</f>
        <v>78</v>
      </c>
    </row>
    <row r="167" spans="4:5" x14ac:dyDescent="0.3">
      <c r="D167" s="121">
        <v>165</v>
      </c>
      <c r="E167" s="121">
        <f>LOOKUP($D167,tabellen!$E$4:$E$15,tabellen!$D$4:$D$15)</f>
        <v>78</v>
      </c>
    </row>
    <row r="168" spans="4:5" x14ac:dyDescent="0.3">
      <c r="D168" s="121">
        <v>166</v>
      </c>
      <c r="E168" s="121">
        <f>LOOKUP($D168,tabellen!$E$4:$E$15,tabellen!$D$4:$D$15)</f>
        <v>78</v>
      </c>
    </row>
    <row r="169" spans="4:5" x14ac:dyDescent="0.3">
      <c r="D169" s="121">
        <v>167</v>
      </c>
      <c r="E169" s="121">
        <f>LOOKUP($D169,tabellen!$E$4:$E$15,tabellen!$D$4:$D$15)</f>
        <v>78</v>
      </c>
    </row>
    <row r="170" spans="4:5" x14ac:dyDescent="0.3">
      <c r="D170" s="121">
        <v>168</v>
      </c>
      <c r="E170" s="121">
        <f>LOOKUP($D170,tabellen!$E$4:$E$15,tabellen!$D$4:$D$15)</f>
        <v>78</v>
      </c>
    </row>
    <row r="171" spans="4:5" x14ac:dyDescent="0.3">
      <c r="D171" s="121">
        <v>169</v>
      </c>
      <c r="E171" s="121">
        <f>LOOKUP($D171,tabellen!$E$4:$E$15,tabellen!$D$4:$D$15)</f>
        <v>78</v>
      </c>
    </row>
    <row r="172" spans="4:5" x14ac:dyDescent="0.3">
      <c r="D172" s="121">
        <v>170</v>
      </c>
      <c r="E172" s="121">
        <f>LOOKUP($D172,tabellen!$E$4:$E$15,tabellen!$D$4:$D$15)</f>
        <v>78</v>
      </c>
    </row>
    <row r="173" spans="4:5" x14ac:dyDescent="0.3">
      <c r="D173" s="121">
        <v>171</v>
      </c>
      <c r="E173" s="121">
        <f>LOOKUP($D173,tabellen!$E$4:$E$15,tabellen!$D$4:$D$15)</f>
        <v>78</v>
      </c>
    </row>
    <row r="174" spans="4:5" x14ac:dyDescent="0.3">
      <c r="D174" s="121">
        <v>172</v>
      </c>
      <c r="E174" s="121">
        <f>LOOKUP($D174,tabellen!$E$4:$E$15,tabellen!$D$4:$D$15)</f>
        <v>78</v>
      </c>
    </row>
    <row r="175" spans="4:5" x14ac:dyDescent="0.3">
      <c r="D175" s="121">
        <v>173</v>
      </c>
      <c r="E175" s="121">
        <f>LOOKUP($D175,tabellen!$E$4:$E$15,tabellen!$D$4:$D$15)</f>
        <v>78</v>
      </c>
    </row>
    <row r="176" spans="4:5" x14ac:dyDescent="0.3">
      <c r="D176" s="121">
        <v>174</v>
      </c>
      <c r="E176" s="121">
        <f>LOOKUP($D176,tabellen!$E$4:$E$15,tabellen!$D$4:$D$15)</f>
        <v>78</v>
      </c>
    </row>
    <row r="177" spans="4:5" x14ac:dyDescent="0.3">
      <c r="D177" s="121">
        <v>175</v>
      </c>
      <c r="E177" s="121">
        <f>LOOKUP($D177,tabellen!$E$4:$E$15,tabellen!$D$4:$D$15)</f>
        <v>78</v>
      </c>
    </row>
    <row r="178" spans="4:5" x14ac:dyDescent="0.3">
      <c r="D178" s="121">
        <v>176</v>
      </c>
      <c r="E178" s="121">
        <f>LOOKUP($D178,tabellen!$E$4:$E$15,tabellen!$D$4:$D$15)</f>
        <v>78</v>
      </c>
    </row>
    <row r="179" spans="4:5" x14ac:dyDescent="0.3">
      <c r="D179" s="121">
        <v>177</v>
      </c>
      <c r="E179" s="121">
        <f>LOOKUP($D179,tabellen!$E$4:$E$15,tabellen!$D$4:$D$15)</f>
        <v>78</v>
      </c>
    </row>
    <row r="180" spans="4:5" x14ac:dyDescent="0.3">
      <c r="D180" s="121">
        <v>178</v>
      </c>
      <c r="E180" s="121">
        <f>LOOKUP($D180,tabellen!$E$4:$E$15,tabellen!$D$4:$D$15)</f>
        <v>78</v>
      </c>
    </row>
    <row r="181" spans="4:5" x14ac:dyDescent="0.3">
      <c r="D181" s="121">
        <v>179</v>
      </c>
      <c r="E181" s="121">
        <f>LOOKUP($D181,tabellen!$E$4:$E$15,tabellen!$D$4:$D$15)</f>
        <v>78</v>
      </c>
    </row>
    <row r="182" spans="4:5" x14ac:dyDescent="0.3">
      <c r="D182" s="121">
        <v>180</v>
      </c>
      <c r="E182" s="121">
        <f>LOOKUP($D182,tabellen!$E$4:$E$15,tabellen!$D$4:$D$15)</f>
        <v>78</v>
      </c>
    </row>
    <row r="183" spans="4:5" x14ac:dyDescent="0.3">
      <c r="D183" s="121">
        <v>181</v>
      </c>
      <c r="E183" s="121">
        <f>LOOKUP($D183,tabellen!$E$4:$E$15,tabellen!$D$4:$D$15)</f>
        <v>78</v>
      </c>
    </row>
    <row r="184" spans="4:5" x14ac:dyDescent="0.3">
      <c r="D184" s="121">
        <v>182</v>
      </c>
      <c r="E184" s="121">
        <f>LOOKUP($D184,tabellen!$E$4:$E$15,tabellen!$D$4:$D$15)</f>
        <v>78</v>
      </c>
    </row>
    <row r="185" spans="4:5" x14ac:dyDescent="0.3">
      <c r="D185" s="121">
        <v>183</v>
      </c>
      <c r="E185" s="121">
        <f>LOOKUP($D185,tabellen!$E$4:$E$15,tabellen!$D$4:$D$15)</f>
        <v>78</v>
      </c>
    </row>
    <row r="186" spans="4:5" x14ac:dyDescent="0.3">
      <c r="D186" s="121">
        <v>184</v>
      </c>
      <c r="E186" s="121">
        <f>LOOKUP($D186,tabellen!$E$4:$E$15,tabellen!$D$4:$D$15)</f>
        <v>78</v>
      </c>
    </row>
    <row r="187" spans="4:5" x14ac:dyDescent="0.3">
      <c r="D187" s="121">
        <v>185</v>
      </c>
      <c r="E187" s="121">
        <f>LOOKUP($D187,tabellen!$E$4:$E$15,tabellen!$D$4:$D$15)</f>
        <v>78</v>
      </c>
    </row>
    <row r="188" spans="4:5" x14ac:dyDescent="0.3">
      <c r="D188" s="121">
        <v>186</v>
      </c>
      <c r="E188" s="121">
        <f>LOOKUP($D188,tabellen!$E$4:$E$15,tabellen!$D$4:$D$15)</f>
        <v>78</v>
      </c>
    </row>
    <row r="189" spans="4:5" x14ac:dyDescent="0.3">
      <c r="D189" s="121">
        <v>187</v>
      </c>
      <c r="E189" s="121">
        <f>LOOKUP($D189,tabellen!$E$4:$E$15,tabellen!$D$4:$D$15)</f>
        <v>78</v>
      </c>
    </row>
    <row r="190" spans="4:5" x14ac:dyDescent="0.3">
      <c r="D190" s="121">
        <v>188</v>
      </c>
      <c r="E190" s="121">
        <f>LOOKUP($D190,tabellen!$E$4:$E$15,tabellen!$D$4:$D$15)</f>
        <v>78</v>
      </c>
    </row>
    <row r="191" spans="4:5" x14ac:dyDescent="0.3">
      <c r="D191" s="121">
        <v>189</v>
      </c>
      <c r="E191" s="121">
        <f>LOOKUP($D191,tabellen!$E$4:$E$15,tabellen!$D$4:$D$15)</f>
        <v>78</v>
      </c>
    </row>
    <row r="192" spans="4:5" x14ac:dyDescent="0.3">
      <c r="D192" s="121">
        <v>190</v>
      </c>
      <c r="E192" s="121">
        <f>LOOKUP($D192,tabellen!$E$4:$E$15,tabellen!$D$4:$D$15)</f>
        <v>78</v>
      </c>
    </row>
    <row r="193" spans="4:5" x14ac:dyDescent="0.3">
      <c r="D193" s="121">
        <v>191</v>
      </c>
      <c r="E193" s="121">
        <f>LOOKUP($D193,tabellen!$E$4:$E$15,tabellen!$D$4:$D$15)</f>
        <v>66</v>
      </c>
    </row>
    <row r="194" spans="4:5" x14ac:dyDescent="0.3">
      <c r="D194" s="121">
        <v>192</v>
      </c>
      <c r="E194" s="121">
        <f>LOOKUP($D194,tabellen!$E$4:$E$15,tabellen!$D$4:$D$15)</f>
        <v>66</v>
      </c>
    </row>
    <row r="195" spans="4:5" x14ac:dyDescent="0.3">
      <c r="D195" s="121">
        <v>193</v>
      </c>
      <c r="E195" s="121">
        <f>LOOKUP($D195,tabellen!$E$4:$E$15,tabellen!$D$4:$D$15)</f>
        <v>66</v>
      </c>
    </row>
    <row r="196" spans="4:5" x14ac:dyDescent="0.3">
      <c r="D196" s="121">
        <v>194</v>
      </c>
      <c r="E196" s="121">
        <f>LOOKUP($D196,tabellen!$E$4:$E$15,tabellen!$D$4:$D$15)</f>
        <v>66</v>
      </c>
    </row>
    <row r="197" spans="4:5" x14ac:dyDescent="0.3">
      <c r="D197" s="121">
        <v>195</v>
      </c>
      <c r="E197" s="121">
        <f>LOOKUP($D197,tabellen!$E$4:$E$15,tabellen!$D$4:$D$15)</f>
        <v>66</v>
      </c>
    </row>
    <row r="198" spans="4:5" x14ac:dyDescent="0.3">
      <c r="D198" s="121">
        <v>196</v>
      </c>
      <c r="E198" s="121">
        <f>LOOKUP($D198,tabellen!$E$4:$E$15,tabellen!$D$4:$D$15)</f>
        <v>66</v>
      </c>
    </row>
    <row r="199" spans="4:5" x14ac:dyDescent="0.3">
      <c r="D199" s="121">
        <v>197</v>
      </c>
      <c r="E199" s="121">
        <f>LOOKUP($D199,tabellen!$E$4:$E$15,tabellen!$D$4:$D$15)</f>
        <v>66</v>
      </c>
    </row>
    <row r="200" spans="4:5" x14ac:dyDescent="0.3">
      <c r="D200" s="121">
        <v>198</v>
      </c>
      <c r="E200" s="121">
        <f>LOOKUP($D200,tabellen!$E$4:$E$15,tabellen!$D$4:$D$15)</f>
        <v>66</v>
      </c>
    </row>
    <row r="201" spans="4:5" x14ac:dyDescent="0.3">
      <c r="D201" s="121">
        <v>199</v>
      </c>
      <c r="E201" s="121">
        <f>LOOKUP($D201,tabellen!$E$4:$E$15,tabellen!$D$4:$D$15)</f>
        <v>66</v>
      </c>
    </row>
    <row r="202" spans="4:5" x14ac:dyDescent="0.3">
      <c r="D202" s="121">
        <v>200</v>
      </c>
      <c r="E202" s="121">
        <f>LOOKUP($D202,tabellen!$E$4:$E$15,tabellen!$D$4:$D$15)</f>
        <v>66</v>
      </c>
    </row>
    <row r="203" spans="4:5" x14ac:dyDescent="0.3">
      <c r="D203" s="121">
        <v>201</v>
      </c>
      <c r="E203" s="121">
        <f>LOOKUP($D203,tabellen!$E$4:$E$15,tabellen!$D$4:$D$15)</f>
        <v>66</v>
      </c>
    </row>
    <row r="204" spans="4:5" x14ac:dyDescent="0.3">
      <c r="D204" s="121">
        <v>202</v>
      </c>
      <c r="E204" s="121">
        <f>LOOKUP($D204,tabellen!$E$4:$E$15,tabellen!$D$4:$D$15)</f>
        <v>66</v>
      </c>
    </row>
    <row r="205" spans="4:5" x14ac:dyDescent="0.3">
      <c r="D205" s="121">
        <v>203</v>
      </c>
      <c r="E205" s="121">
        <f>LOOKUP($D205,tabellen!$E$4:$E$15,tabellen!$D$4:$D$15)</f>
        <v>66</v>
      </c>
    </row>
    <row r="206" spans="4:5" x14ac:dyDescent="0.3">
      <c r="D206" s="121">
        <v>204</v>
      </c>
      <c r="E206" s="121">
        <f>LOOKUP($D206,tabellen!$E$4:$E$15,tabellen!$D$4:$D$15)</f>
        <v>66</v>
      </c>
    </row>
    <row r="207" spans="4:5" x14ac:dyDescent="0.3">
      <c r="D207" s="121">
        <v>205</v>
      </c>
      <c r="E207" s="121">
        <f>LOOKUP($D207,tabellen!$E$4:$E$15,tabellen!$D$4:$D$15)</f>
        <v>66</v>
      </c>
    </row>
    <row r="208" spans="4:5" x14ac:dyDescent="0.3">
      <c r="D208" s="121">
        <v>206</v>
      </c>
      <c r="E208" s="121">
        <f>LOOKUP($D208,tabellen!$E$4:$E$15,tabellen!$D$4:$D$15)</f>
        <v>66</v>
      </c>
    </row>
    <row r="209" spans="4:5" x14ac:dyDescent="0.3">
      <c r="D209" s="121">
        <v>207</v>
      </c>
      <c r="E209" s="121">
        <f>LOOKUP($D209,tabellen!$E$4:$E$15,tabellen!$D$4:$D$15)</f>
        <v>66</v>
      </c>
    </row>
    <row r="210" spans="4:5" x14ac:dyDescent="0.3">
      <c r="D210" s="121">
        <v>208</v>
      </c>
      <c r="E210" s="121">
        <f>LOOKUP($D210,tabellen!$E$4:$E$15,tabellen!$D$4:$D$15)</f>
        <v>66</v>
      </c>
    </row>
    <row r="211" spans="4:5" x14ac:dyDescent="0.3">
      <c r="D211" s="121">
        <v>209</v>
      </c>
      <c r="E211" s="121">
        <f>LOOKUP($D211,tabellen!$E$4:$E$15,tabellen!$D$4:$D$15)</f>
        <v>66</v>
      </c>
    </row>
    <row r="212" spans="4:5" x14ac:dyDescent="0.3">
      <c r="D212" s="121">
        <v>210</v>
      </c>
      <c r="E212" s="121">
        <f>LOOKUP($D212,tabellen!$E$4:$E$15,tabellen!$D$4:$D$15)</f>
        <v>66</v>
      </c>
    </row>
    <row r="213" spans="4:5" x14ac:dyDescent="0.3">
      <c r="D213" s="121">
        <v>211</v>
      </c>
      <c r="E213" s="121">
        <f>LOOKUP($D213,tabellen!$E$4:$E$15,tabellen!$D$4:$D$15)</f>
        <v>66</v>
      </c>
    </row>
    <row r="214" spans="4:5" x14ac:dyDescent="0.3">
      <c r="D214" s="121">
        <v>212</v>
      </c>
      <c r="E214" s="121">
        <f>LOOKUP($D214,tabellen!$E$4:$E$15,tabellen!$D$4:$D$15)</f>
        <v>66</v>
      </c>
    </row>
    <row r="215" spans="4:5" x14ac:dyDescent="0.3">
      <c r="D215" s="121">
        <v>213</v>
      </c>
      <c r="E215" s="121">
        <f>LOOKUP($D215,tabellen!$E$4:$E$15,tabellen!$D$4:$D$15)</f>
        <v>66</v>
      </c>
    </row>
    <row r="216" spans="4:5" x14ac:dyDescent="0.3">
      <c r="D216" s="121">
        <v>214</v>
      </c>
      <c r="E216" s="121">
        <f>LOOKUP($D216,tabellen!$E$4:$E$15,tabellen!$D$4:$D$15)</f>
        <v>66</v>
      </c>
    </row>
    <row r="217" spans="4:5" x14ac:dyDescent="0.3">
      <c r="D217" s="121">
        <v>215</v>
      </c>
      <c r="E217" s="121">
        <f>LOOKUP($D217,tabellen!$E$4:$E$15,tabellen!$D$4:$D$15)</f>
        <v>66</v>
      </c>
    </row>
    <row r="218" spans="4:5" x14ac:dyDescent="0.3">
      <c r="D218" s="121">
        <v>216</v>
      </c>
      <c r="E218" s="121">
        <f>LOOKUP($D218,tabellen!$E$4:$E$15,tabellen!$D$4:$D$15)</f>
        <v>66</v>
      </c>
    </row>
    <row r="219" spans="4:5" x14ac:dyDescent="0.3">
      <c r="D219" s="121">
        <v>217</v>
      </c>
      <c r="E219" s="121">
        <f>LOOKUP($D219,tabellen!$E$4:$E$15,tabellen!$D$4:$D$15)</f>
        <v>66</v>
      </c>
    </row>
    <row r="220" spans="4:5" x14ac:dyDescent="0.3">
      <c r="D220" s="121">
        <v>218</v>
      </c>
      <c r="E220" s="121">
        <f>LOOKUP($D220,tabellen!$E$4:$E$15,tabellen!$D$4:$D$15)</f>
        <v>66</v>
      </c>
    </row>
    <row r="221" spans="4:5" x14ac:dyDescent="0.3">
      <c r="D221" s="121">
        <v>219</v>
      </c>
      <c r="E221" s="121">
        <f>LOOKUP($D221,tabellen!$E$4:$E$15,tabellen!$D$4:$D$15)</f>
        <v>66</v>
      </c>
    </row>
    <row r="222" spans="4:5" x14ac:dyDescent="0.3">
      <c r="D222" s="121">
        <v>220</v>
      </c>
      <c r="E222" s="121">
        <f>LOOKUP($D222,tabellen!$E$4:$E$15,tabellen!$D$4:$D$15)</f>
        <v>66</v>
      </c>
    </row>
    <row r="223" spans="4:5" x14ac:dyDescent="0.3">
      <c r="D223" s="121">
        <v>221</v>
      </c>
      <c r="E223" s="121">
        <f>LOOKUP($D223,tabellen!$E$4:$E$15,tabellen!$D$4:$D$15)</f>
        <v>66</v>
      </c>
    </row>
    <row r="224" spans="4:5" x14ac:dyDescent="0.3">
      <c r="D224" s="121">
        <v>222</v>
      </c>
      <c r="E224" s="121">
        <f>LOOKUP($D224,tabellen!$E$4:$E$15,tabellen!$D$4:$D$15)</f>
        <v>66</v>
      </c>
    </row>
    <row r="225" spans="4:5" x14ac:dyDescent="0.3">
      <c r="D225" s="121">
        <v>223</v>
      </c>
      <c r="E225" s="121">
        <f>LOOKUP($D225,tabellen!$E$4:$E$15,tabellen!$D$4:$D$15)</f>
        <v>66</v>
      </c>
    </row>
    <row r="226" spans="4:5" x14ac:dyDescent="0.3">
      <c r="D226" s="121">
        <v>224</v>
      </c>
      <c r="E226" s="121">
        <f>LOOKUP($D226,tabellen!$E$4:$E$15,tabellen!$D$4:$D$15)</f>
        <v>66</v>
      </c>
    </row>
    <row r="227" spans="4:5" x14ac:dyDescent="0.3">
      <c r="D227" s="121">
        <v>225</v>
      </c>
      <c r="E227" s="121">
        <f>LOOKUP($D227,tabellen!$E$4:$E$15,tabellen!$D$4:$D$15)</f>
        <v>66</v>
      </c>
    </row>
    <row r="228" spans="4:5" x14ac:dyDescent="0.3">
      <c r="D228" s="121">
        <v>226</v>
      </c>
      <c r="E228" s="121">
        <f>LOOKUP($D228,tabellen!$E$4:$E$15,tabellen!$D$4:$D$15)</f>
        <v>66</v>
      </c>
    </row>
    <row r="229" spans="4:5" x14ac:dyDescent="0.3">
      <c r="D229" s="121">
        <v>227</v>
      </c>
      <c r="E229" s="121">
        <f>LOOKUP($D229,tabellen!$E$4:$E$15,tabellen!$D$4:$D$15)</f>
        <v>66</v>
      </c>
    </row>
    <row r="230" spans="4:5" x14ac:dyDescent="0.3">
      <c r="D230" s="121">
        <v>228</v>
      </c>
      <c r="E230" s="121">
        <f>LOOKUP($D230,tabellen!$E$4:$E$15,tabellen!$D$4:$D$15)</f>
        <v>66</v>
      </c>
    </row>
    <row r="231" spans="4:5" x14ac:dyDescent="0.3">
      <c r="D231" s="121">
        <v>229</v>
      </c>
      <c r="E231" s="121">
        <f>LOOKUP($D231,tabellen!$E$4:$E$15,tabellen!$D$4:$D$15)</f>
        <v>66</v>
      </c>
    </row>
    <row r="232" spans="4:5" x14ac:dyDescent="0.3">
      <c r="D232" s="121">
        <v>230</v>
      </c>
      <c r="E232" s="121">
        <f>LOOKUP($D232,tabellen!$E$4:$E$15,tabellen!$D$4:$D$15)</f>
        <v>66</v>
      </c>
    </row>
    <row r="233" spans="4:5" x14ac:dyDescent="0.3">
      <c r="D233" s="121">
        <v>231</v>
      </c>
      <c r="E233" s="121">
        <f>LOOKUP($D233,tabellen!$E$4:$E$15,tabellen!$D$4:$D$15)</f>
        <v>66</v>
      </c>
    </row>
    <row r="234" spans="4:5" x14ac:dyDescent="0.3">
      <c r="D234" s="121">
        <v>232</v>
      </c>
      <c r="E234" s="121">
        <f>LOOKUP($D234,tabellen!$E$4:$E$15,tabellen!$D$4:$D$15)</f>
        <v>66</v>
      </c>
    </row>
    <row r="235" spans="4:5" x14ac:dyDescent="0.3">
      <c r="D235" s="121">
        <v>233</v>
      </c>
      <c r="E235" s="121">
        <f>LOOKUP($D235,tabellen!$E$4:$E$15,tabellen!$D$4:$D$15)</f>
        <v>66</v>
      </c>
    </row>
    <row r="236" spans="4:5" x14ac:dyDescent="0.3">
      <c r="D236" s="121">
        <v>234</v>
      </c>
      <c r="E236" s="121">
        <f>LOOKUP($D236,tabellen!$E$4:$E$15,tabellen!$D$4:$D$15)</f>
        <v>66</v>
      </c>
    </row>
    <row r="237" spans="4:5" x14ac:dyDescent="0.3">
      <c r="D237" s="121">
        <v>235</v>
      </c>
      <c r="E237" s="121">
        <f>LOOKUP($D237,tabellen!$E$4:$E$15,tabellen!$D$4:$D$15)</f>
        <v>66</v>
      </c>
    </row>
    <row r="238" spans="4:5" x14ac:dyDescent="0.3">
      <c r="D238" s="121">
        <v>236</v>
      </c>
      <c r="E238" s="121">
        <f>LOOKUP($D238,tabellen!$E$4:$E$15,tabellen!$D$4:$D$15)</f>
        <v>66</v>
      </c>
    </row>
    <row r="239" spans="4:5" x14ac:dyDescent="0.3">
      <c r="D239" s="121">
        <v>237</v>
      </c>
      <c r="E239" s="121">
        <f>LOOKUP($D239,tabellen!$E$4:$E$15,tabellen!$D$4:$D$15)</f>
        <v>66</v>
      </c>
    </row>
    <row r="240" spans="4:5" x14ac:dyDescent="0.3">
      <c r="D240" s="121">
        <v>238</v>
      </c>
      <c r="E240" s="121">
        <f>LOOKUP($D240,tabellen!$E$4:$E$15,tabellen!$D$4:$D$15)</f>
        <v>66</v>
      </c>
    </row>
    <row r="241" spans="4:5" x14ac:dyDescent="0.3">
      <c r="D241" s="121">
        <v>239</v>
      </c>
      <c r="E241" s="121">
        <f>LOOKUP($D241,tabellen!$E$4:$E$15,tabellen!$D$4:$D$15)</f>
        <v>66</v>
      </c>
    </row>
    <row r="242" spans="4:5" x14ac:dyDescent="0.3">
      <c r="D242" s="121">
        <v>240</v>
      </c>
      <c r="E242" s="121">
        <f>LOOKUP($D242,tabellen!$E$4:$E$15,tabellen!$D$4:$D$15)</f>
        <v>66</v>
      </c>
    </row>
    <row r="243" spans="4:5" x14ac:dyDescent="0.3">
      <c r="D243" s="121">
        <v>241</v>
      </c>
      <c r="E243" s="121">
        <f>LOOKUP($D243,tabellen!$E$4:$E$15,tabellen!$D$4:$D$15)</f>
        <v>66</v>
      </c>
    </row>
    <row r="244" spans="4:5" x14ac:dyDescent="0.3">
      <c r="D244" s="121">
        <v>242</v>
      </c>
      <c r="E244" s="121">
        <f>LOOKUP($D244,tabellen!$E$4:$E$15,tabellen!$D$4:$D$15)</f>
        <v>66</v>
      </c>
    </row>
    <row r="245" spans="4:5" x14ac:dyDescent="0.3">
      <c r="D245" s="121">
        <v>243</v>
      </c>
      <c r="E245" s="121">
        <f>LOOKUP($D245,tabellen!$E$4:$E$15,tabellen!$D$4:$D$15)</f>
        <v>66</v>
      </c>
    </row>
    <row r="246" spans="4:5" x14ac:dyDescent="0.3">
      <c r="D246" s="121">
        <v>244</v>
      </c>
      <c r="E246" s="121">
        <f>LOOKUP($D246,tabellen!$E$4:$E$15,tabellen!$D$4:$D$15)</f>
        <v>66</v>
      </c>
    </row>
    <row r="247" spans="4:5" x14ac:dyDescent="0.3">
      <c r="D247" s="121">
        <v>245</v>
      </c>
      <c r="E247" s="121">
        <f>LOOKUP($D247,tabellen!$E$4:$E$15,tabellen!$D$4:$D$15)</f>
        <v>66</v>
      </c>
    </row>
    <row r="248" spans="4:5" x14ac:dyDescent="0.3">
      <c r="D248" s="121">
        <v>246</v>
      </c>
      <c r="E248" s="121">
        <f>LOOKUP($D248,tabellen!$E$4:$E$15,tabellen!$D$4:$D$15)</f>
        <v>66</v>
      </c>
    </row>
    <row r="249" spans="4:5" x14ac:dyDescent="0.3">
      <c r="D249" s="121">
        <v>247</v>
      </c>
      <c r="E249" s="121">
        <f>LOOKUP($D249,tabellen!$E$4:$E$15,tabellen!$D$4:$D$15)</f>
        <v>66</v>
      </c>
    </row>
    <row r="250" spans="4:5" x14ac:dyDescent="0.3">
      <c r="D250" s="121">
        <v>248</v>
      </c>
      <c r="E250" s="121">
        <f>LOOKUP($D250,tabellen!$E$4:$E$15,tabellen!$D$4:$D$15)</f>
        <v>66</v>
      </c>
    </row>
    <row r="251" spans="4:5" x14ac:dyDescent="0.3">
      <c r="D251" s="121">
        <v>249</v>
      </c>
      <c r="E251" s="121">
        <f>LOOKUP($D251,tabellen!$E$4:$E$15,tabellen!$D$4:$D$15)</f>
        <v>66</v>
      </c>
    </row>
    <row r="252" spans="4:5" x14ac:dyDescent="0.3">
      <c r="D252" s="121">
        <v>250</v>
      </c>
      <c r="E252" s="121">
        <f>LOOKUP($D252,tabellen!$E$4:$E$15,tabellen!$D$4:$D$15)</f>
        <v>66</v>
      </c>
    </row>
    <row r="253" spans="4:5" x14ac:dyDescent="0.3">
      <c r="D253" s="121">
        <v>251</v>
      </c>
      <c r="E253" s="121">
        <f>LOOKUP($D253,tabellen!$E$4:$E$15,tabellen!$D$4:$D$15)</f>
        <v>66</v>
      </c>
    </row>
    <row r="254" spans="4:5" x14ac:dyDescent="0.3">
      <c r="D254" s="121">
        <v>252</v>
      </c>
      <c r="E254" s="121">
        <f>LOOKUP($D254,tabellen!$E$4:$E$15,tabellen!$D$4:$D$15)</f>
        <v>66</v>
      </c>
    </row>
    <row r="255" spans="4:5" x14ac:dyDescent="0.3">
      <c r="D255" s="121">
        <v>253</v>
      </c>
      <c r="E255" s="121">
        <f>LOOKUP($D255,tabellen!$E$4:$E$15,tabellen!$D$4:$D$15)</f>
        <v>66</v>
      </c>
    </row>
    <row r="256" spans="4:5" x14ac:dyDescent="0.3">
      <c r="D256" s="121">
        <v>254</v>
      </c>
      <c r="E256" s="121">
        <f>LOOKUP($D256,tabellen!$E$4:$E$15,tabellen!$D$4:$D$15)</f>
        <v>66</v>
      </c>
    </row>
    <row r="257" spans="4:5" x14ac:dyDescent="0.3">
      <c r="D257" s="121">
        <v>255</v>
      </c>
      <c r="E257" s="121">
        <f>LOOKUP($D257,tabellen!$E$4:$E$15,tabellen!$D$4:$D$15)</f>
        <v>66</v>
      </c>
    </row>
    <row r="258" spans="4:5" x14ac:dyDescent="0.3">
      <c r="D258" s="121">
        <v>256</v>
      </c>
      <c r="E258" s="121">
        <f>LOOKUP($D258,tabellen!$E$4:$E$15,tabellen!$D$4:$D$15)</f>
        <v>66</v>
      </c>
    </row>
    <row r="259" spans="4:5" x14ac:dyDescent="0.3">
      <c r="D259" s="121">
        <v>257</v>
      </c>
      <c r="E259" s="121">
        <f>LOOKUP($D259,tabellen!$E$4:$E$15,tabellen!$D$4:$D$15)</f>
        <v>66</v>
      </c>
    </row>
    <row r="260" spans="4:5" x14ac:dyDescent="0.3">
      <c r="D260" s="121">
        <v>258</v>
      </c>
      <c r="E260" s="121">
        <f>LOOKUP($D260,tabellen!$E$4:$E$15,tabellen!$D$4:$D$15)</f>
        <v>66</v>
      </c>
    </row>
    <row r="261" spans="4:5" x14ac:dyDescent="0.3">
      <c r="D261" s="121">
        <v>259</v>
      </c>
      <c r="E261" s="121">
        <f>LOOKUP($D261,tabellen!$E$4:$E$15,tabellen!$D$4:$D$15)</f>
        <v>66</v>
      </c>
    </row>
    <row r="262" spans="4:5" x14ac:dyDescent="0.3">
      <c r="D262" s="121">
        <v>260</v>
      </c>
      <c r="E262" s="121">
        <f>LOOKUP($D262,tabellen!$E$4:$E$15,tabellen!$D$4:$D$15)</f>
        <v>66</v>
      </c>
    </row>
    <row r="263" spans="4:5" x14ac:dyDescent="0.3">
      <c r="D263" s="121">
        <v>261</v>
      </c>
      <c r="E263" s="121">
        <f>LOOKUP($D263,tabellen!$E$4:$E$15,tabellen!$D$4:$D$15)</f>
        <v>66</v>
      </c>
    </row>
    <row r="264" spans="4:5" x14ac:dyDescent="0.3">
      <c r="D264" s="121">
        <v>262</v>
      </c>
      <c r="E264" s="121">
        <f>LOOKUP($D264,tabellen!$E$4:$E$15,tabellen!$D$4:$D$15)</f>
        <v>66</v>
      </c>
    </row>
    <row r="265" spans="4:5" x14ac:dyDescent="0.3">
      <c r="D265" s="121">
        <v>263</v>
      </c>
      <c r="E265" s="121">
        <f>LOOKUP($D265,tabellen!$E$4:$E$15,tabellen!$D$4:$D$15)</f>
        <v>66</v>
      </c>
    </row>
    <row r="266" spans="4:5" x14ac:dyDescent="0.3">
      <c r="D266" s="121">
        <v>264</v>
      </c>
      <c r="E266" s="121">
        <f>LOOKUP($D266,tabellen!$E$4:$E$15,tabellen!$D$4:$D$15)</f>
        <v>66</v>
      </c>
    </row>
    <row r="267" spans="4:5" x14ac:dyDescent="0.3">
      <c r="D267" s="121">
        <v>265</v>
      </c>
      <c r="E267" s="121">
        <f>LOOKUP($D267,tabellen!$E$4:$E$15,tabellen!$D$4:$D$15)</f>
        <v>66</v>
      </c>
    </row>
    <row r="268" spans="4:5" x14ac:dyDescent="0.3">
      <c r="D268" s="121">
        <v>266</v>
      </c>
      <c r="E268" s="121">
        <f>LOOKUP($D268,tabellen!$E$4:$E$15,tabellen!$D$4:$D$15)</f>
        <v>66</v>
      </c>
    </row>
    <row r="269" spans="4:5" x14ac:dyDescent="0.3">
      <c r="D269" s="121">
        <v>267</v>
      </c>
      <c r="E269" s="121">
        <f>LOOKUP($D269,tabellen!$E$4:$E$15,tabellen!$D$4:$D$15)</f>
        <v>66</v>
      </c>
    </row>
    <row r="270" spans="4:5" x14ac:dyDescent="0.3">
      <c r="D270" s="121">
        <v>268</v>
      </c>
      <c r="E270" s="121">
        <f>LOOKUP($D270,tabellen!$E$4:$E$15,tabellen!$D$4:$D$15)</f>
        <v>66</v>
      </c>
    </row>
    <row r="271" spans="4:5" x14ac:dyDescent="0.3">
      <c r="D271" s="121">
        <v>269</v>
      </c>
      <c r="E271" s="121">
        <f>LOOKUP($D271,tabellen!$E$4:$E$15,tabellen!$D$4:$D$15)</f>
        <v>66</v>
      </c>
    </row>
    <row r="272" spans="4:5" x14ac:dyDescent="0.3">
      <c r="D272" s="121">
        <v>270</v>
      </c>
      <c r="E272" s="121">
        <f>LOOKUP($D272,tabellen!$E$4:$E$15,tabellen!$D$4:$D$15)</f>
        <v>66</v>
      </c>
    </row>
    <row r="273" spans="4:5" x14ac:dyDescent="0.3">
      <c r="D273" s="121">
        <v>271</v>
      </c>
      <c r="E273" s="121">
        <f>LOOKUP($D273,tabellen!$E$4:$E$15,tabellen!$D$4:$D$15)</f>
        <v>66</v>
      </c>
    </row>
    <row r="274" spans="4:5" x14ac:dyDescent="0.3">
      <c r="D274" s="121">
        <v>272</v>
      </c>
      <c r="E274" s="121">
        <f>LOOKUP($D274,tabellen!$E$4:$E$15,tabellen!$D$4:$D$15)</f>
        <v>66</v>
      </c>
    </row>
    <row r="275" spans="4:5" x14ac:dyDescent="0.3">
      <c r="D275" s="121">
        <v>273</v>
      </c>
      <c r="E275" s="121">
        <f>LOOKUP($D275,tabellen!$E$4:$E$15,tabellen!$D$4:$D$15)</f>
        <v>66</v>
      </c>
    </row>
    <row r="276" spans="4:5" x14ac:dyDescent="0.3">
      <c r="D276" s="121">
        <v>274</v>
      </c>
      <c r="E276" s="121">
        <f>LOOKUP($D276,tabellen!$E$4:$E$15,tabellen!$D$4:$D$15)</f>
        <v>66</v>
      </c>
    </row>
    <row r="277" spans="4:5" x14ac:dyDescent="0.3">
      <c r="D277" s="121">
        <v>275</v>
      </c>
      <c r="E277" s="121">
        <f>LOOKUP($D277,tabellen!$E$4:$E$15,tabellen!$D$4:$D$15)</f>
        <v>66</v>
      </c>
    </row>
    <row r="278" spans="4:5" x14ac:dyDescent="0.3">
      <c r="D278" s="121">
        <v>276</v>
      </c>
      <c r="E278" s="121">
        <f>LOOKUP($D278,tabellen!$E$4:$E$15,tabellen!$D$4:$D$15)</f>
        <v>66</v>
      </c>
    </row>
    <row r="279" spans="4:5" x14ac:dyDescent="0.3">
      <c r="D279" s="121">
        <v>277</v>
      </c>
      <c r="E279" s="121">
        <f>LOOKUP($D279,tabellen!$E$4:$E$15,tabellen!$D$4:$D$15)</f>
        <v>66</v>
      </c>
    </row>
    <row r="280" spans="4:5" x14ac:dyDescent="0.3">
      <c r="D280" s="121">
        <v>278</v>
      </c>
      <c r="E280" s="121">
        <f>LOOKUP($D280,tabellen!$E$4:$E$15,tabellen!$D$4:$D$15)</f>
        <v>66</v>
      </c>
    </row>
    <row r="281" spans="4:5" x14ac:dyDescent="0.3">
      <c r="D281" s="121">
        <v>279</v>
      </c>
      <c r="E281" s="121">
        <f>LOOKUP($D281,tabellen!$E$4:$E$15,tabellen!$D$4:$D$15)</f>
        <v>66</v>
      </c>
    </row>
    <row r="282" spans="4:5" x14ac:dyDescent="0.3">
      <c r="D282" s="121">
        <v>280</v>
      </c>
      <c r="E282" s="121">
        <f>LOOKUP($D282,tabellen!$E$4:$E$15,tabellen!$D$4:$D$15)</f>
        <v>66</v>
      </c>
    </row>
    <row r="283" spans="4:5" x14ac:dyDescent="0.3">
      <c r="D283" s="121">
        <v>281</v>
      </c>
      <c r="E283" s="121">
        <f>LOOKUP($D283,tabellen!$E$4:$E$15,tabellen!$D$4:$D$15)</f>
        <v>66</v>
      </c>
    </row>
    <row r="284" spans="4:5" x14ac:dyDescent="0.3">
      <c r="D284" s="121">
        <v>282</v>
      </c>
      <c r="E284" s="121">
        <f>LOOKUP($D284,tabellen!$E$4:$E$15,tabellen!$D$4:$D$15)</f>
        <v>66</v>
      </c>
    </row>
    <row r="285" spans="4:5" x14ac:dyDescent="0.3">
      <c r="D285" s="121">
        <v>283</v>
      </c>
      <c r="E285" s="121">
        <f>LOOKUP($D285,tabellen!$E$4:$E$15,tabellen!$D$4:$D$15)</f>
        <v>66</v>
      </c>
    </row>
    <row r="286" spans="4:5" x14ac:dyDescent="0.3">
      <c r="D286" s="121">
        <v>284</v>
      </c>
      <c r="E286" s="121">
        <f>LOOKUP($D286,tabellen!$E$4:$E$15,tabellen!$D$4:$D$15)</f>
        <v>66</v>
      </c>
    </row>
    <row r="287" spans="4:5" x14ac:dyDescent="0.3">
      <c r="D287" s="121">
        <v>285</v>
      </c>
      <c r="E287" s="121">
        <f>LOOKUP($D287,tabellen!$E$4:$E$15,tabellen!$D$4:$D$15)</f>
        <v>66</v>
      </c>
    </row>
    <row r="288" spans="4:5" x14ac:dyDescent="0.3">
      <c r="D288" s="121">
        <v>286</v>
      </c>
      <c r="E288" s="121">
        <f>LOOKUP($D288,tabellen!$E$4:$E$15,tabellen!$D$4:$D$15)</f>
        <v>66</v>
      </c>
    </row>
    <row r="289" spans="4:5" x14ac:dyDescent="0.3">
      <c r="D289" s="121">
        <v>287</v>
      </c>
      <c r="E289" s="121">
        <f>LOOKUP($D289,tabellen!$E$4:$E$15,tabellen!$D$4:$D$15)</f>
        <v>66</v>
      </c>
    </row>
    <row r="290" spans="4:5" x14ac:dyDescent="0.3">
      <c r="D290" s="121">
        <v>288</v>
      </c>
      <c r="E290" s="121">
        <f>LOOKUP($D290,tabellen!$E$4:$E$15,tabellen!$D$4:$D$15)</f>
        <v>66</v>
      </c>
    </row>
    <row r="291" spans="4:5" x14ac:dyDescent="0.3">
      <c r="D291" s="121">
        <v>289</v>
      </c>
      <c r="E291" s="121">
        <f>LOOKUP($D291,tabellen!$E$4:$E$15,tabellen!$D$4:$D$15)</f>
        <v>66</v>
      </c>
    </row>
    <row r="292" spans="4:5" x14ac:dyDescent="0.3">
      <c r="D292" s="121">
        <v>290</v>
      </c>
      <c r="E292" s="121">
        <f>LOOKUP($D292,tabellen!$E$4:$E$15,tabellen!$D$4:$D$15)</f>
        <v>66</v>
      </c>
    </row>
    <row r="293" spans="4:5" x14ac:dyDescent="0.3">
      <c r="D293" s="121">
        <v>291</v>
      </c>
      <c r="E293" s="121">
        <f>LOOKUP($D293,tabellen!$E$4:$E$15,tabellen!$D$4:$D$15)</f>
        <v>66</v>
      </c>
    </row>
    <row r="294" spans="4:5" x14ac:dyDescent="0.3">
      <c r="D294" s="121">
        <v>292</v>
      </c>
      <c r="E294" s="121">
        <f>LOOKUP($D294,tabellen!$E$4:$E$15,tabellen!$D$4:$D$15)</f>
        <v>66</v>
      </c>
    </row>
    <row r="295" spans="4:5" x14ac:dyDescent="0.3">
      <c r="D295" s="121">
        <v>293</v>
      </c>
      <c r="E295" s="121">
        <f>LOOKUP($D295,tabellen!$E$4:$E$15,tabellen!$D$4:$D$15)</f>
        <v>66</v>
      </c>
    </row>
    <row r="296" spans="4:5" x14ac:dyDescent="0.3">
      <c r="D296" s="121">
        <v>294</v>
      </c>
      <c r="E296" s="121">
        <f>LOOKUP($D296,tabellen!$E$4:$E$15,tabellen!$D$4:$D$15)</f>
        <v>66</v>
      </c>
    </row>
    <row r="297" spans="4:5" x14ac:dyDescent="0.3">
      <c r="D297" s="121">
        <v>295</v>
      </c>
      <c r="E297" s="121">
        <f>LOOKUP($D297,tabellen!$E$4:$E$15,tabellen!$D$4:$D$15)</f>
        <v>66</v>
      </c>
    </row>
    <row r="298" spans="4:5" x14ac:dyDescent="0.3">
      <c r="D298" s="121">
        <v>296</v>
      </c>
      <c r="E298" s="121">
        <f>LOOKUP($D298,tabellen!$E$4:$E$15,tabellen!$D$4:$D$15)</f>
        <v>66</v>
      </c>
    </row>
    <row r="299" spans="4:5" x14ac:dyDescent="0.3">
      <c r="D299" s="121">
        <v>297</v>
      </c>
      <c r="E299" s="121">
        <f>LOOKUP($D299,tabellen!$E$4:$E$15,tabellen!$D$4:$D$15)</f>
        <v>66</v>
      </c>
    </row>
    <row r="300" spans="4:5" x14ac:dyDescent="0.3">
      <c r="D300" s="121">
        <v>298</v>
      </c>
      <c r="E300" s="121">
        <f>LOOKUP($D300,tabellen!$E$4:$E$15,tabellen!$D$4:$D$15)</f>
        <v>66</v>
      </c>
    </row>
    <row r="301" spans="4:5" x14ac:dyDescent="0.3">
      <c r="D301" s="121">
        <v>299</v>
      </c>
      <c r="E301" s="121">
        <f>LOOKUP($D301,tabellen!$E$4:$E$15,tabellen!$D$4:$D$15)</f>
        <v>66</v>
      </c>
    </row>
    <row r="302" spans="4:5" x14ac:dyDescent="0.3">
      <c r="D302" s="121">
        <v>300</v>
      </c>
      <c r="E302" s="121">
        <f>LOOKUP($D302,tabellen!$E$4:$E$15,tabellen!$D$4:$D$15)</f>
        <v>66</v>
      </c>
    </row>
    <row r="303" spans="4:5" x14ac:dyDescent="0.3">
      <c r="D303" s="121">
        <v>301</v>
      </c>
      <c r="E303" s="121">
        <f>LOOKUP($D303,tabellen!$E$4:$E$15,tabellen!$D$4:$D$15)</f>
        <v>66</v>
      </c>
    </row>
    <row r="304" spans="4:5" x14ac:dyDescent="0.3">
      <c r="D304" s="121">
        <v>302</v>
      </c>
      <c r="E304" s="121">
        <f>LOOKUP($D304,tabellen!$E$4:$E$15,tabellen!$D$4:$D$15)</f>
        <v>66</v>
      </c>
    </row>
    <row r="305" spans="4:5" x14ac:dyDescent="0.3">
      <c r="D305" s="121">
        <v>303</v>
      </c>
      <c r="E305" s="121">
        <f>LOOKUP($D305,tabellen!$E$4:$E$15,tabellen!$D$4:$D$15)</f>
        <v>66</v>
      </c>
    </row>
    <row r="306" spans="4:5" x14ac:dyDescent="0.3">
      <c r="D306" s="121">
        <v>304</v>
      </c>
      <c r="E306" s="121">
        <f>LOOKUP($D306,tabellen!$E$4:$E$15,tabellen!$D$4:$D$15)</f>
        <v>66</v>
      </c>
    </row>
    <row r="307" spans="4:5" x14ac:dyDescent="0.3">
      <c r="D307" s="121">
        <v>305</v>
      </c>
      <c r="E307" s="121">
        <f>LOOKUP($D307,tabellen!$E$4:$E$15,tabellen!$D$4:$D$15)</f>
        <v>66</v>
      </c>
    </row>
    <row r="308" spans="4:5" x14ac:dyDescent="0.3">
      <c r="D308" s="121">
        <v>306</v>
      </c>
      <c r="E308" s="121">
        <f>LOOKUP($D308,tabellen!$E$4:$E$15,tabellen!$D$4:$D$15)</f>
        <v>66</v>
      </c>
    </row>
    <row r="309" spans="4:5" x14ac:dyDescent="0.3">
      <c r="D309" s="121">
        <v>307</v>
      </c>
      <c r="E309" s="121">
        <f>LOOKUP($D309,tabellen!$E$4:$E$15,tabellen!$D$4:$D$15)</f>
        <v>66</v>
      </c>
    </row>
    <row r="310" spans="4:5" x14ac:dyDescent="0.3">
      <c r="D310" s="121">
        <v>308</v>
      </c>
      <c r="E310" s="121">
        <f>LOOKUP($D310,tabellen!$E$4:$E$15,tabellen!$D$4:$D$15)</f>
        <v>66</v>
      </c>
    </row>
    <row r="311" spans="4:5" x14ac:dyDescent="0.3">
      <c r="D311" s="121">
        <v>309</v>
      </c>
      <c r="E311" s="121">
        <f>LOOKUP($D311,tabellen!$E$4:$E$15,tabellen!$D$4:$D$15)</f>
        <v>66</v>
      </c>
    </row>
    <row r="312" spans="4:5" x14ac:dyDescent="0.3">
      <c r="D312" s="121">
        <v>310</v>
      </c>
      <c r="E312" s="121">
        <f>LOOKUP($D312,tabellen!$E$4:$E$15,tabellen!$D$4:$D$15)</f>
        <v>66</v>
      </c>
    </row>
    <row r="313" spans="4:5" x14ac:dyDescent="0.3">
      <c r="D313" s="121">
        <v>311</v>
      </c>
      <c r="E313" s="121">
        <f>LOOKUP($D313,tabellen!$E$4:$E$15,tabellen!$D$4:$D$15)</f>
        <v>66</v>
      </c>
    </row>
    <row r="314" spans="4:5" x14ac:dyDescent="0.3">
      <c r="D314" s="121">
        <v>312</v>
      </c>
      <c r="E314" s="121">
        <f>LOOKUP($D314,tabellen!$E$4:$E$15,tabellen!$D$4:$D$15)</f>
        <v>66</v>
      </c>
    </row>
    <row r="315" spans="4:5" x14ac:dyDescent="0.3">
      <c r="D315" s="121">
        <v>313</v>
      </c>
      <c r="E315" s="121">
        <f>LOOKUP($D315,tabellen!$E$4:$E$15,tabellen!$D$4:$D$15)</f>
        <v>66</v>
      </c>
    </row>
    <row r="316" spans="4:5" x14ac:dyDescent="0.3">
      <c r="D316" s="121">
        <v>314</v>
      </c>
      <c r="E316" s="121">
        <f>LOOKUP($D316,tabellen!$E$4:$E$15,tabellen!$D$4:$D$15)</f>
        <v>66</v>
      </c>
    </row>
    <row r="317" spans="4:5" x14ac:dyDescent="0.3">
      <c r="D317" s="121">
        <v>315</v>
      </c>
      <c r="E317" s="121">
        <f>LOOKUP($D317,tabellen!$E$4:$E$15,tabellen!$D$4:$D$15)</f>
        <v>66</v>
      </c>
    </row>
    <row r="318" spans="4:5" x14ac:dyDescent="0.3">
      <c r="D318" s="121">
        <v>316</v>
      </c>
      <c r="E318" s="121">
        <f>LOOKUP($D318,tabellen!$E$4:$E$15,tabellen!$D$4:$D$15)</f>
        <v>66</v>
      </c>
    </row>
    <row r="319" spans="4:5" x14ac:dyDescent="0.3">
      <c r="D319" s="121">
        <v>317</v>
      </c>
      <c r="E319" s="121">
        <f>LOOKUP($D319,tabellen!$E$4:$E$15,tabellen!$D$4:$D$15)</f>
        <v>66</v>
      </c>
    </row>
    <row r="320" spans="4:5" x14ac:dyDescent="0.3">
      <c r="D320" s="121">
        <v>318</v>
      </c>
      <c r="E320" s="121">
        <f>LOOKUP($D320,tabellen!$E$4:$E$15,tabellen!$D$4:$D$15)</f>
        <v>66</v>
      </c>
    </row>
    <row r="321" spans="4:5" x14ac:dyDescent="0.3">
      <c r="D321" s="121">
        <v>319</v>
      </c>
      <c r="E321" s="121">
        <f>LOOKUP($D321,tabellen!$E$4:$E$15,tabellen!$D$4:$D$15)</f>
        <v>66</v>
      </c>
    </row>
    <row r="322" spans="4:5" x14ac:dyDescent="0.3">
      <c r="D322" s="121">
        <v>320</v>
      </c>
      <c r="E322" s="121">
        <f>LOOKUP($D322,tabellen!$E$4:$E$15,tabellen!$D$4:$D$15)</f>
        <v>66</v>
      </c>
    </row>
    <row r="323" spans="4:5" x14ac:dyDescent="0.3">
      <c r="D323" s="121">
        <v>321</v>
      </c>
      <c r="E323" s="121">
        <f>LOOKUP($D323,tabellen!$E$4:$E$15,tabellen!$D$4:$D$15)</f>
        <v>66</v>
      </c>
    </row>
    <row r="324" spans="4:5" x14ac:dyDescent="0.3">
      <c r="D324" s="121">
        <v>322</v>
      </c>
      <c r="E324" s="121">
        <f>LOOKUP($D324,tabellen!$E$4:$E$15,tabellen!$D$4:$D$15)</f>
        <v>66</v>
      </c>
    </row>
    <row r="325" spans="4:5" x14ac:dyDescent="0.3">
      <c r="D325" s="121">
        <v>323</v>
      </c>
      <c r="E325" s="121">
        <f>LOOKUP($D325,tabellen!$E$4:$E$15,tabellen!$D$4:$D$15)</f>
        <v>66</v>
      </c>
    </row>
    <row r="326" spans="4:5" x14ac:dyDescent="0.3">
      <c r="D326" s="121">
        <v>324</v>
      </c>
      <c r="E326" s="121">
        <f>LOOKUP($D326,tabellen!$E$4:$E$15,tabellen!$D$4:$D$15)</f>
        <v>66</v>
      </c>
    </row>
    <row r="327" spans="4:5" x14ac:dyDescent="0.3">
      <c r="D327" s="121">
        <v>325</v>
      </c>
      <c r="E327" s="121">
        <f>LOOKUP($D327,tabellen!$E$4:$E$15,tabellen!$D$4:$D$15)</f>
        <v>66</v>
      </c>
    </row>
    <row r="328" spans="4:5" x14ac:dyDescent="0.3">
      <c r="D328" s="121">
        <v>326</v>
      </c>
      <c r="E328" s="121">
        <f>LOOKUP($D328,tabellen!$E$4:$E$15,tabellen!$D$4:$D$15)</f>
        <v>66</v>
      </c>
    </row>
    <row r="329" spans="4:5" x14ac:dyDescent="0.3">
      <c r="D329" s="121">
        <v>327</v>
      </c>
      <c r="E329" s="121">
        <f>LOOKUP($D329,tabellen!$E$4:$E$15,tabellen!$D$4:$D$15)</f>
        <v>66</v>
      </c>
    </row>
    <row r="330" spans="4:5" x14ac:dyDescent="0.3">
      <c r="D330" s="121">
        <v>328</v>
      </c>
      <c r="E330" s="121">
        <f>LOOKUP($D330,tabellen!$E$4:$E$15,tabellen!$D$4:$D$15)</f>
        <v>66</v>
      </c>
    </row>
    <row r="331" spans="4:5" x14ac:dyDescent="0.3">
      <c r="D331" s="121">
        <v>329</v>
      </c>
      <c r="E331" s="121">
        <f>LOOKUP($D331,tabellen!$E$4:$E$15,tabellen!$D$4:$D$15)</f>
        <v>66</v>
      </c>
    </row>
    <row r="332" spans="4:5" x14ac:dyDescent="0.3">
      <c r="D332" s="121">
        <v>330</v>
      </c>
      <c r="E332" s="121">
        <f>LOOKUP($D332,tabellen!$E$4:$E$15,tabellen!$D$4:$D$15)</f>
        <v>66</v>
      </c>
    </row>
    <row r="333" spans="4:5" x14ac:dyDescent="0.3">
      <c r="D333" s="121">
        <v>331</v>
      </c>
      <c r="E333" s="121">
        <f>LOOKUP($D333,tabellen!$E$4:$E$15,tabellen!$D$4:$D$15)</f>
        <v>66</v>
      </c>
    </row>
    <row r="334" spans="4:5" x14ac:dyDescent="0.3">
      <c r="D334" s="121">
        <v>332</v>
      </c>
      <c r="E334" s="121">
        <f>LOOKUP($D334,tabellen!$E$4:$E$15,tabellen!$D$4:$D$15)</f>
        <v>66</v>
      </c>
    </row>
    <row r="335" spans="4:5" x14ac:dyDescent="0.3">
      <c r="D335" s="121">
        <v>333</v>
      </c>
      <c r="E335" s="121">
        <f>LOOKUP($D335,tabellen!$E$4:$E$15,tabellen!$D$4:$D$15)</f>
        <v>66</v>
      </c>
    </row>
    <row r="336" spans="4:5" x14ac:dyDescent="0.3">
      <c r="D336" s="121">
        <v>334</v>
      </c>
      <c r="E336" s="121">
        <f>LOOKUP($D336,tabellen!$E$4:$E$15,tabellen!$D$4:$D$15)</f>
        <v>66</v>
      </c>
    </row>
    <row r="337" spans="4:5" x14ac:dyDescent="0.3">
      <c r="D337" s="121">
        <v>335</v>
      </c>
      <c r="E337" s="121">
        <f>LOOKUP($D337,tabellen!$E$4:$E$15,tabellen!$D$4:$D$15)</f>
        <v>66</v>
      </c>
    </row>
    <row r="338" spans="4:5" x14ac:dyDescent="0.3">
      <c r="D338" s="121">
        <v>336</v>
      </c>
      <c r="E338" s="121">
        <f>LOOKUP($D338,tabellen!$E$4:$E$15,tabellen!$D$4:$D$15)</f>
        <v>66</v>
      </c>
    </row>
    <row r="339" spans="4:5" x14ac:dyDescent="0.3">
      <c r="D339" s="121">
        <v>337</v>
      </c>
      <c r="E339" s="121">
        <f>LOOKUP($D339,tabellen!$E$4:$E$15,tabellen!$D$4:$D$15)</f>
        <v>66</v>
      </c>
    </row>
    <row r="340" spans="4:5" x14ac:dyDescent="0.3">
      <c r="D340" s="121">
        <v>338</v>
      </c>
      <c r="E340" s="121">
        <f>LOOKUP($D340,tabellen!$E$4:$E$15,tabellen!$D$4:$D$15)</f>
        <v>66</v>
      </c>
    </row>
    <row r="341" spans="4:5" x14ac:dyDescent="0.3">
      <c r="D341" s="121">
        <v>339</v>
      </c>
      <c r="E341" s="121">
        <f>LOOKUP($D341,tabellen!$E$4:$E$15,tabellen!$D$4:$D$15)</f>
        <v>66</v>
      </c>
    </row>
    <row r="342" spans="4:5" x14ac:dyDescent="0.3">
      <c r="D342" s="121">
        <v>340</v>
      </c>
      <c r="E342" s="121">
        <f>LOOKUP($D342,tabellen!$E$4:$E$15,tabellen!$D$4:$D$15)</f>
        <v>66</v>
      </c>
    </row>
    <row r="343" spans="4:5" x14ac:dyDescent="0.3">
      <c r="D343" s="121">
        <v>341</v>
      </c>
      <c r="E343" s="121">
        <f>LOOKUP($D343,tabellen!$E$4:$E$15,tabellen!$D$4:$D$15)</f>
        <v>66</v>
      </c>
    </row>
    <row r="344" spans="4:5" x14ac:dyDescent="0.3">
      <c r="D344" s="121">
        <v>342</v>
      </c>
      <c r="E344" s="121">
        <f>LOOKUP($D344,tabellen!$E$4:$E$15,tabellen!$D$4:$D$15)</f>
        <v>66</v>
      </c>
    </row>
    <row r="345" spans="4:5" x14ac:dyDescent="0.3">
      <c r="D345" s="121">
        <v>343</v>
      </c>
      <c r="E345" s="121">
        <f>LOOKUP($D345,tabellen!$E$4:$E$15,tabellen!$D$4:$D$15)</f>
        <v>66</v>
      </c>
    </row>
    <row r="346" spans="4:5" x14ac:dyDescent="0.3">
      <c r="D346" s="121">
        <v>344</v>
      </c>
      <c r="E346" s="121">
        <f>LOOKUP($D346,tabellen!$E$4:$E$15,tabellen!$D$4:$D$15)</f>
        <v>66</v>
      </c>
    </row>
    <row r="347" spans="4:5" x14ac:dyDescent="0.3">
      <c r="D347" s="121">
        <v>345</v>
      </c>
      <c r="E347" s="121">
        <f>LOOKUP($D347,tabellen!$E$4:$E$15,tabellen!$D$4:$D$15)</f>
        <v>66</v>
      </c>
    </row>
    <row r="348" spans="4:5" x14ac:dyDescent="0.3">
      <c r="D348" s="121">
        <v>346</v>
      </c>
      <c r="E348" s="121">
        <f>LOOKUP($D348,tabellen!$E$4:$E$15,tabellen!$D$4:$D$15)</f>
        <v>66</v>
      </c>
    </row>
    <row r="349" spans="4:5" x14ac:dyDescent="0.3">
      <c r="D349" s="121">
        <v>347</v>
      </c>
      <c r="E349" s="121">
        <f>LOOKUP($D349,tabellen!$E$4:$E$15,tabellen!$D$4:$D$15)</f>
        <v>66</v>
      </c>
    </row>
    <row r="350" spans="4:5" x14ac:dyDescent="0.3">
      <c r="D350" s="121">
        <v>348</v>
      </c>
      <c r="E350" s="121">
        <f>LOOKUP($D350,tabellen!$E$4:$E$15,tabellen!$D$4:$D$15)</f>
        <v>66</v>
      </c>
    </row>
    <row r="351" spans="4:5" x14ac:dyDescent="0.3">
      <c r="D351" s="121">
        <v>349</v>
      </c>
      <c r="E351" s="121">
        <f>LOOKUP($D351,tabellen!$E$4:$E$15,tabellen!$D$4:$D$15)</f>
        <v>66</v>
      </c>
    </row>
    <row r="352" spans="4:5" x14ac:dyDescent="0.3">
      <c r="D352" s="121">
        <v>350</v>
      </c>
      <c r="E352" s="121">
        <f>LOOKUP($D352,tabellen!$E$4:$E$15,tabellen!$D$4:$D$15)</f>
        <v>66</v>
      </c>
    </row>
    <row r="353" spans="4:5" x14ac:dyDescent="0.3">
      <c r="D353" s="121">
        <v>351</v>
      </c>
      <c r="E353" s="121">
        <f>LOOKUP($D353,tabellen!$E$4:$E$15,tabellen!$D$4:$D$15)</f>
        <v>66</v>
      </c>
    </row>
    <row r="354" spans="4:5" x14ac:dyDescent="0.3">
      <c r="D354" s="121">
        <v>352</v>
      </c>
      <c r="E354" s="121">
        <f>LOOKUP($D354,tabellen!$E$4:$E$15,tabellen!$D$4:$D$15)</f>
        <v>66</v>
      </c>
    </row>
    <row r="355" spans="4:5" x14ac:dyDescent="0.3">
      <c r="D355" s="121">
        <v>353</v>
      </c>
      <c r="E355" s="121">
        <f>LOOKUP($D355,tabellen!$E$4:$E$15,tabellen!$D$4:$D$15)</f>
        <v>66</v>
      </c>
    </row>
    <row r="356" spans="4:5" x14ac:dyDescent="0.3">
      <c r="D356" s="121">
        <v>354</v>
      </c>
      <c r="E356" s="121">
        <f>LOOKUP($D356,tabellen!$E$4:$E$15,tabellen!$D$4:$D$15)</f>
        <v>66</v>
      </c>
    </row>
    <row r="357" spans="4:5" x14ac:dyDescent="0.3">
      <c r="D357" s="121">
        <v>355</v>
      </c>
      <c r="E357" s="121">
        <f>LOOKUP($D357,tabellen!$E$4:$E$15,tabellen!$D$4:$D$15)</f>
        <v>66</v>
      </c>
    </row>
    <row r="358" spans="4:5" x14ac:dyDescent="0.3">
      <c r="D358" s="121">
        <v>356</v>
      </c>
      <c r="E358" s="121">
        <f>LOOKUP($D358,tabellen!$E$4:$E$15,tabellen!$D$4:$D$15)</f>
        <v>66</v>
      </c>
    </row>
    <row r="359" spans="4:5" x14ac:dyDescent="0.3">
      <c r="D359" s="121">
        <v>357</v>
      </c>
      <c r="E359" s="121">
        <f>LOOKUP($D359,tabellen!$E$4:$E$15,tabellen!$D$4:$D$15)</f>
        <v>66</v>
      </c>
    </row>
    <row r="360" spans="4:5" x14ac:dyDescent="0.3">
      <c r="D360" s="121">
        <v>358</v>
      </c>
      <c r="E360" s="121">
        <f>LOOKUP($D360,tabellen!$E$4:$E$15,tabellen!$D$4:$D$15)</f>
        <v>66</v>
      </c>
    </row>
    <row r="361" spans="4:5" x14ac:dyDescent="0.3">
      <c r="D361" s="121">
        <v>359</v>
      </c>
      <c r="E361" s="121">
        <f>LOOKUP($D361,tabellen!$E$4:$E$15,tabellen!$D$4:$D$15)</f>
        <v>66</v>
      </c>
    </row>
    <row r="362" spans="4:5" x14ac:dyDescent="0.3">
      <c r="D362" s="121">
        <v>360</v>
      </c>
      <c r="E362" s="121">
        <f>LOOKUP($D362,tabellen!$E$4:$E$15,tabellen!$D$4:$D$15)</f>
        <v>66</v>
      </c>
    </row>
    <row r="363" spans="4:5" x14ac:dyDescent="0.3">
      <c r="D363" s="121">
        <v>361</v>
      </c>
      <c r="E363" s="121">
        <f>LOOKUP($D363,tabellen!$E$4:$E$15,tabellen!$D$4:$D$15)</f>
        <v>66</v>
      </c>
    </row>
    <row r="364" spans="4:5" x14ac:dyDescent="0.3">
      <c r="D364" s="121">
        <v>362</v>
      </c>
      <c r="E364" s="121">
        <f>LOOKUP($D364,tabellen!$E$4:$E$15,tabellen!$D$4:$D$15)</f>
        <v>66</v>
      </c>
    </row>
    <row r="365" spans="4:5" x14ac:dyDescent="0.3">
      <c r="D365" s="121">
        <v>363</v>
      </c>
      <c r="E365" s="121">
        <f>LOOKUP($D365,tabellen!$E$4:$E$15,tabellen!$D$4:$D$15)</f>
        <v>66</v>
      </c>
    </row>
    <row r="366" spans="4:5" x14ac:dyDescent="0.3">
      <c r="D366" s="121">
        <v>364</v>
      </c>
      <c r="E366" s="121">
        <f>LOOKUP($D366,tabellen!$E$4:$E$15,tabellen!$D$4:$D$15)</f>
        <v>66</v>
      </c>
    </row>
    <row r="367" spans="4:5" x14ac:dyDescent="0.3">
      <c r="D367" s="121">
        <v>365</v>
      </c>
      <c r="E367" s="121">
        <f>LOOKUP($D367,tabellen!$E$4:$E$15,tabellen!$D$4:$D$15)</f>
        <v>66</v>
      </c>
    </row>
    <row r="368" spans="4:5" x14ac:dyDescent="0.3">
      <c r="D368" s="121">
        <v>366</v>
      </c>
      <c r="E368" s="121">
        <f>LOOKUP($D368,tabellen!$E$4:$E$15,tabellen!$D$4:$D$15)</f>
        <v>66</v>
      </c>
    </row>
    <row r="369" spans="4:5" x14ac:dyDescent="0.3">
      <c r="D369" s="121">
        <v>367</v>
      </c>
      <c r="E369" s="121">
        <f>LOOKUP($D369,tabellen!$E$4:$E$15,tabellen!$D$4:$D$15)</f>
        <v>66</v>
      </c>
    </row>
    <row r="370" spans="4:5" x14ac:dyDescent="0.3">
      <c r="D370" s="121">
        <v>368</v>
      </c>
      <c r="E370" s="121">
        <f>LOOKUP($D370,tabellen!$E$4:$E$15,tabellen!$D$4:$D$15)</f>
        <v>66</v>
      </c>
    </row>
    <row r="371" spans="4:5" x14ac:dyDescent="0.3">
      <c r="D371" s="121">
        <v>369</v>
      </c>
      <c r="E371" s="121">
        <f>LOOKUP($D371,tabellen!$E$4:$E$15,tabellen!$D$4:$D$15)</f>
        <v>66</v>
      </c>
    </row>
    <row r="372" spans="4:5" x14ac:dyDescent="0.3">
      <c r="D372" s="121">
        <v>370</v>
      </c>
      <c r="E372" s="121">
        <f>LOOKUP($D372,tabellen!$E$4:$E$15,tabellen!$D$4:$D$15)</f>
        <v>66</v>
      </c>
    </row>
    <row r="373" spans="4:5" x14ac:dyDescent="0.3">
      <c r="D373" s="121">
        <v>371</v>
      </c>
      <c r="E373" s="121">
        <f>LOOKUP($D373,tabellen!$E$4:$E$15,tabellen!$D$4:$D$15)</f>
        <v>66</v>
      </c>
    </row>
    <row r="374" spans="4:5" x14ac:dyDescent="0.3">
      <c r="D374" s="121">
        <v>372</v>
      </c>
      <c r="E374" s="121">
        <f>LOOKUP($D374,tabellen!$E$4:$E$15,tabellen!$D$4:$D$15)</f>
        <v>66</v>
      </c>
    </row>
    <row r="375" spans="4:5" x14ac:dyDescent="0.3">
      <c r="D375" s="121">
        <v>373</v>
      </c>
      <c r="E375" s="121">
        <f>LOOKUP($D375,tabellen!$E$4:$E$15,tabellen!$D$4:$D$15)</f>
        <v>66</v>
      </c>
    </row>
    <row r="376" spans="4:5" x14ac:dyDescent="0.3">
      <c r="D376" s="121">
        <v>374</v>
      </c>
      <c r="E376" s="121">
        <f>LOOKUP($D376,tabellen!$E$4:$E$15,tabellen!$D$4:$D$15)</f>
        <v>66</v>
      </c>
    </row>
    <row r="377" spans="4:5" x14ac:dyDescent="0.3">
      <c r="D377" s="121">
        <v>375</v>
      </c>
      <c r="E377" s="121">
        <f>LOOKUP($D377,tabellen!$E$4:$E$15,tabellen!$D$4:$D$15)</f>
        <v>66</v>
      </c>
    </row>
    <row r="378" spans="4:5" x14ac:dyDescent="0.3">
      <c r="D378" s="121">
        <v>376</v>
      </c>
      <c r="E378" s="121">
        <f>LOOKUP($D378,tabellen!$E$4:$E$15,tabellen!$D$4:$D$15)</f>
        <v>66</v>
      </c>
    </row>
    <row r="379" spans="4:5" x14ac:dyDescent="0.3">
      <c r="D379" s="121">
        <v>377</v>
      </c>
      <c r="E379" s="121">
        <f>LOOKUP($D379,tabellen!$E$4:$E$15,tabellen!$D$4:$D$15)</f>
        <v>66</v>
      </c>
    </row>
    <row r="380" spans="4:5" x14ac:dyDescent="0.3">
      <c r="D380" s="121">
        <v>378</v>
      </c>
      <c r="E380" s="121">
        <f>LOOKUP($D380,tabellen!$E$4:$E$15,tabellen!$D$4:$D$15)</f>
        <v>66</v>
      </c>
    </row>
    <row r="381" spans="4:5" x14ac:dyDescent="0.3">
      <c r="D381" s="121">
        <v>379</v>
      </c>
      <c r="E381" s="121">
        <f>LOOKUP($D381,tabellen!$E$4:$E$15,tabellen!$D$4:$D$15)</f>
        <v>66</v>
      </c>
    </row>
    <row r="382" spans="4:5" x14ac:dyDescent="0.3">
      <c r="D382" s="121">
        <v>380</v>
      </c>
      <c r="E382" s="121">
        <f>LOOKUP($D382,tabellen!$E$4:$E$15,tabellen!$D$4:$D$15)</f>
        <v>66</v>
      </c>
    </row>
    <row r="383" spans="4:5" x14ac:dyDescent="0.3">
      <c r="D383" s="121">
        <v>381</v>
      </c>
      <c r="E383" s="121">
        <f>LOOKUP($D383,tabellen!$E$4:$E$15,tabellen!$D$4:$D$15)</f>
        <v>66</v>
      </c>
    </row>
    <row r="384" spans="4:5" x14ac:dyDescent="0.3">
      <c r="D384" s="121">
        <v>382</v>
      </c>
      <c r="E384" s="121">
        <f>LOOKUP($D384,tabellen!$E$4:$E$15,tabellen!$D$4:$D$15)</f>
        <v>66</v>
      </c>
    </row>
    <row r="385" spans="4:5" x14ac:dyDescent="0.3">
      <c r="D385" s="121">
        <v>383</v>
      </c>
      <c r="E385" s="121">
        <f>LOOKUP($D385,tabellen!$E$4:$E$15,tabellen!$D$4:$D$15)</f>
        <v>66</v>
      </c>
    </row>
    <row r="386" spans="4:5" x14ac:dyDescent="0.3">
      <c r="D386" s="121">
        <v>384</v>
      </c>
      <c r="E386" s="121">
        <f>LOOKUP($D386,tabellen!$E$4:$E$15,tabellen!$D$4:$D$15)</f>
        <v>66</v>
      </c>
    </row>
    <row r="387" spans="4:5" x14ac:dyDescent="0.3">
      <c r="D387" s="121">
        <v>385</v>
      </c>
      <c r="E387" s="121">
        <f>LOOKUP($D387,tabellen!$E$4:$E$15,tabellen!$D$4:$D$15)</f>
        <v>66</v>
      </c>
    </row>
    <row r="388" spans="4:5" x14ac:dyDescent="0.3">
      <c r="D388" s="121">
        <v>386</v>
      </c>
      <c r="E388" s="121">
        <f>LOOKUP($D388,tabellen!$E$4:$E$15,tabellen!$D$4:$D$15)</f>
        <v>66</v>
      </c>
    </row>
    <row r="389" spans="4:5" x14ac:dyDescent="0.3">
      <c r="D389" s="121">
        <v>387</v>
      </c>
      <c r="E389" s="121">
        <f>LOOKUP($D389,tabellen!$E$4:$E$15,tabellen!$D$4:$D$15)</f>
        <v>66</v>
      </c>
    </row>
    <row r="390" spans="4:5" x14ac:dyDescent="0.3">
      <c r="D390" s="121">
        <v>388</v>
      </c>
      <c r="E390" s="121">
        <f>LOOKUP($D390,tabellen!$E$4:$E$15,tabellen!$D$4:$D$15)</f>
        <v>66</v>
      </c>
    </row>
    <row r="391" spans="4:5" x14ac:dyDescent="0.3">
      <c r="D391" s="121">
        <v>389</v>
      </c>
      <c r="E391" s="121">
        <f>LOOKUP($D391,tabellen!$E$4:$E$15,tabellen!$D$4:$D$15)</f>
        <v>66</v>
      </c>
    </row>
    <row r="392" spans="4:5" x14ac:dyDescent="0.3">
      <c r="D392" s="121">
        <v>390</v>
      </c>
      <c r="E392" s="121">
        <f>LOOKUP($D392,tabellen!$E$4:$E$15,tabellen!$D$4:$D$15)</f>
        <v>66</v>
      </c>
    </row>
    <row r="393" spans="4:5" x14ac:dyDescent="0.3">
      <c r="D393" s="121">
        <v>391</v>
      </c>
      <c r="E393" s="121">
        <f>LOOKUP($D393,tabellen!$E$4:$E$15,tabellen!$D$4:$D$15)</f>
        <v>66</v>
      </c>
    </row>
    <row r="394" spans="4:5" x14ac:dyDescent="0.3">
      <c r="D394" s="121">
        <v>392</v>
      </c>
      <c r="E394" s="121">
        <f>LOOKUP($D394,tabellen!$E$4:$E$15,tabellen!$D$4:$D$15)</f>
        <v>66</v>
      </c>
    </row>
    <row r="395" spans="4:5" x14ac:dyDescent="0.3">
      <c r="D395" s="121">
        <v>393</v>
      </c>
      <c r="E395" s="121">
        <f>LOOKUP($D395,tabellen!$E$4:$E$15,tabellen!$D$4:$D$15)</f>
        <v>66</v>
      </c>
    </row>
    <row r="396" spans="4:5" x14ac:dyDescent="0.3">
      <c r="D396" s="121">
        <v>394</v>
      </c>
      <c r="E396" s="121">
        <f>LOOKUP($D396,tabellen!$E$4:$E$15,tabellen!$D$4:$D$15)</f>
        <v>66</v>
      </c>
    </row>
    <row r="397" spans="4:5" x14ac:dyDescent="0.3">
      <c r="D397" s="121">
        <v>395</v>
      </c>
      <c r="E397" s="121">
        <f>LOOKUP($D397,tabellen!$E$4:$E$15,tabellen!$D$4:$D$15)</f>
        <v>66</v>
      </c>
    </row>
    <row r="398" spans="4:5" x14ac:dyDescent="0.3">
      <c r="D398" s="121">
        <v>396</v>
      </c>
      <c r="E398" s="121">
        <f>LOOKUP($D398,tabellen!$E$4:$E$15,tabellen!$D$4:$D$15)</f>
        <v>66</v>
      </c>
    </row>
    <row r="399" spans="4:5" x14ac:dyDescent="0.3">
      <c r="D399" s="121">
        <v>397</v>
      </c>
      <c r="E399" s="121">
        <f>LOOKUP($D399,tabellen!$E$4:$E$15,tabellen!$D$4:$D$15)</f>
        <v>66</v>
      </c>
    </row>
    <row r="400" spans="4:5" x14ac:dyDescent="0.3">
      <c r="D400" s="121">
        <v>398</v>
      </c>
      <c r="E400" s="121">
        <f>LOOKUP($D400,tabellen!$E$4:$E$15,tabellen!$D$4:$D$15)</f>
        <v>66</v>
      </c>
    </row>
    <row r="401" spans="4:5" x14ac:dyDescent="0.3">
      <c r="D401" s="121">
        <v>399</v>
      </c>
      <c r="E401" s="121">
        <f>LOOKUP($D401,tabellen!$E$4:$E$15,tabellen!$D$4:$D$15)</f>
        <v>66</v>
      </c>
    </row>
    <row r="402" spans="4:5" x14ac:dyDescent="0.3">
      <c r="D402" s="121">
        <v>400</v>
      </c>
      <c r="E402" s="121">
        <f>LOOKUP($D402,tabellen!$E$4:$E$15,tabellen!$D$4:$D$15)</f>
        <v>66</v>
      </c>
    </row>
    <row r="403" spans="4:5" x14ac:dyDescent="0.3">
      <c r="D403" s="121">
        <v>401</v>
      </c>
      <c r="E403" s="121">
        <f>LOOKUP($D403,tabellen!$E$4:$E$15,tabellen!$D$4:$D$15)</f>
        <v>66</v>
      </c>
    </row>
    <row r="404" spans="4:5" x14ac:dyDescent="0.3">
      <c r="D404" s="121">
        <v>402</v>
      </c>
      <c r="E404" s="121">
        <f>LOOKUP($D404,tabellen!$E$4:$E$15,tabellen!$D$4:$D$15)</f>
        <v>66</v>
      </c>
    </row>
    <row r="405" spans="4:5" x14ac:dyDescent="0.3">
      <c r="D405" s="121">
        <v>403</v>
      </c>
      <c r="E405" s="121">
        <f>LOOKUP($D405,tabellen!$E$4:$E$15,tabellen!$D$4:$D$15)</f>
        <v>66</v>
      </c>
    </row>
    <row r="406" spans="4:5" x14ac:dyDescent="0.3">
      <c r="D406" s="121">
        <v>404</v>
      </c>
      <c r="E406" s="121">
        <f>LOOKUP($D406,tabellen!$E$4:$E$15,tabellen!$D$4:$D$15)</f>
        <v>66</v>
      </c>
    </row>
    <row r="407" spans="4:5" x14ac:dyDescent="0.3">
      <c r="D407" s="121">
        <v>405</v>
      </c>
      <c r="E407" s="121">
        <f>LOOKUP($D407,tabellen!$E$4:$E$15,tabellen!$D$4:$D$15)</f>
        <v>66</v>
      </c>
    </row>
    <row r="408" spans="4:5" x14ac:dyDescent="0.3">
      <c r="D408" s="121">
        <v>406</v>
      </c>
      <c r="E408" s="121">
        <f>LOOKUP($D408,tabellen!$E$4:$E$15,tabellen!$D$4:$D$15)</f>
        <v>66</v>
      </c>
    </row>
    <row r="409" spans="4:5" x14ac:dyDescent="0.3">
      <c r="D409" s="121">
        <v>407</v>
      </c>
      <c r="E409" s="121">
        <f>LOOKUP($D409,tabellen!$E$4:$E$15,tabellen!$D$4:$D$15)</f>
        <v>66</v>
      </c>
    </row>
    <row r="410" spans="4:5" x14ac:dyDescent="0.3">
      <c r="D410" s="121">
        <v>408</v>
      </c>
      <c r="E410" s="121">
        <f>LOOKUP($D410,tabellen!$E$4:$E$15,tabellen!$D$4:$D$15)</f>
        <v>66</v>
      </c>
    </row>
    <row r="411" spans="4:5" x14ac:dyDescent="0.3">
      <c r="D411" s="121">
        <v>409</v>
      </c>
      <c r="E411" s="121">
        <f>LOOKUP($D411,tabellen!$E$4:$E$15,tabellen!$D$4:$D$15)</f>
        <v>66</v>
      </c>
    </row>
    <row r="412" spans="4:5" x14ac:dyDescent="0.3">
      <c r="D412" s="121">
        <v>410</v>
      </c>
      <c r="E412" s="121">
        <f>LOOKUP($D412,tabellen!$E$4:$E$15,tabellen!$D$4:$D$15)</f>
        <v>66</v>
      </c>
    </row>
    <row r="413" spans="4:5" x14ac:dyDescent="0.3">
      <c r="D413" s="121">
        <v>411</v>
      </c>
      <c r="E413" s="121">
        <f>LOOKUP($D413,tabellen!$E$4:$E$15,tabellen!$D$4:$D$15)</f>
        <v>66</v>
      </c>
    </row>
    <row r="414" spans="4:5" x14ac:dyDescent="0.3">
      <c r="D414" s="121">
        <v>412</v>
      </c>
      <c r="E414" s="121">
        <f>LOOKUP($D414,tabellen!$E$4:$E$15,tabellen!$D$4:$D$15)</f>
        <v>66</v>
      </c>
    </row>
    <row r="415" spans="4:5" x14ac:dyDescent="0.3">
      <c r="D415" s="121">
        <v>413</v>
      </c>
      <c r="E415" s="121">
        <f>LOOKUP($D415,tabellen!$E$4:$E$15,tabellen!$D$4:$D$15)</f>
        <v>66</v>
      </c>
    </row>
    <row r="416" spans="4:5" x14ac:dyDescent="0.3">
      <c r="D416" s="121">
        <v>414</v>
      </c>
      <c r="E416" s="121">
        <f>LOOKUP($D416,tabellen!$E$4:$E$15,tabellen!$D$4:$D$15)</f>
        <v>66</v>
      </c>
    </row>
    <row r="417" spans="4:5" x14ac:dyDescent="0.3">
      <c r="D417" s="121">
        <v>415</v>
      </c>
      <c r="E417" s="121">
        <f>LOOKUP($D417,tabellen!$E$4:$E$15,tabellen!$D$4:$D$15)</f>
        <v>66</v>
      </c>
    </row>
    <row r="418" spans="4:5" x14ac:dyDescent="0.3">
      <c r="D418" s="121">
        <v>416</v>
      </c>
      <c r="E418" s="121">
        <f>LOOKUP($D418,tabellen!$E$4:$E$15,tabellen!$D$4:$D$15)</f>
        <v>66</v>
      </c>
    </row>
    <row r="419" spans="4:5" x14ac:dyDescent="0.3">
      <c r="D419" s="121">
        <v>417</v>
      </c>
      <c r="E419" s="121">
        <f>LOOKUP($D419,tabellen!$E$4:$E$15,tabellen!$D$4:$D$15)</f>
        <v>66</v>
      </c>
    </row>
    <row r="420" spans="4:5" x14ac:dyDescent="0.3">
      <c r="D420" s="121">
        <v>418</v>
      </c>
      <c r="E420" s="121">
        <f>LOOKUP($D420,tabellen!$E$4:$E$15,tabellen!$D$4:$D$15)</f>
        <v>66</v>
      </c>
    </row>
    <row r="421" spans="4:5" x14ac:dyDescent="0.3">
      <c r="D421" s="121">
        <v>419</v>
      </c>
      <c r="E421" s="121">
        <f>LOOKUP($D421,tabellen!$E$4:$E$15,tabellen!$D$4:$D$15)</f>
        <v>66</v>
      </c>
    </row>
    <row r="422" spans="4:5" x14ac:dyDescent="0.3">
      <c r="D422" s="121">
        <v>420</v>
      </c>
      <c r="E422" s="121">
        <f>LOOKUP($D422,tabellen!$E$4:$E$15,tabellen!$D$4:$D$15)</f>
        <v>66</v>
      </c>
    </row>
    <row r="423" spans="4:5" x14ac:dyDescent="0.3">
      <c r="D423" s="121">
        <v>421</v>
      </c>
      <c r="E423" s="121">
        <f>LOOKUP($D423,tabellen!$E$4:$E$15,tabellen!$D$4:$D$15)</f>
        <v>66</v>
      </c>
    </row>
    <row r="424" spans="4:5" x14ac:dyDescent="0.3">
      <c r="D424" s="121">
        <v>422</v>
      </c>
      <c r="E424" s="121">
        <f>LOOKUP($D424,tabellen!$E$4:$E$15,tabellen!$D$4:$D$15)</f>
        <v>66</v>
      </c>
    </row>
    <row r="425" spans="4:5" x14ac:dyDescent="0.3">
      <c r="D425" s="121">
        <v>423</v>
      </c>
      <c r="E425" s="121">
        <f>LOOKUP($D425,tabellen!$E$4:$E$15,tabellen!$D$4:$D$15)</f>
        <v>66</v>
      </c>
    </row>
    <row r="426" spans="4:5" x14ac:dyDescent="0.3">
      <c r="D426" s="121">
        <v>424</v>
      </c>
      <c r="E426" s="121">
        <f>LOOKUP($D426,tabellen!$E$4:$E$15,tabellen!$D$4:$D$15)</f>
        <v>66</v>
      </c>
    </row>
    <row r="427" spans="4:5" x14ac:dyDescent="0.3">
      <c r="D427" s="121">
        <v>425</v>
      </c>
      <c r="E427" s="121">
        <f>LOOKUP($D427,tabellen!$E$4:$E$15,tabellen!$D$4:$D$15)</f>
        <v>66</v>
      </c>
    </row>
    <row r="428" spans="4:5" x14ac:dyDescent="0.3">
      <c r="D428" s="121">
        <v>426</v>
      </c>
      <c r="E428" s="121">
        <f>LOOKUP($D428,tabellen!$E$4:$E$15,tabellen!$D$4:$D$15)</f>
        <v>66</v>
      </c>
    </row>
    <row r="429" spans="4:5" x14ac:dyDescent="0.3">
      <c r="D429" s="121">
        <v>427</v>
      </c>
      <c r="E429" s="121">
        <f>LOOKUP($D429,tabellen!$E$4:$E$15,tabellen!$D$4:$D$15)</f>
        <v>66</v>
      </c>
    </row>
    <row r="430" spans="4:5" x14ac:dyDescent="0.3">
      <c r="D430" s="121">
        <v>428</v>
      </c>
      <c r="E430" s="121">
        <f>LOOKUP($D430,tabellen!$E$4:$E$15,tabellen!$D$4:$D$15)</f>
        <v>66</v>
      </c>
    </row>
    <row r="431" spans="4:5" x14ac:dyDescent="0.3">
      <c r="D431" s="121">
        <v>429</v>
      </c>
      <c r="E431" s="121">
        <f>LOOKUP($D431,tabellen!$E$4:$E$15,tabellen!$D$4:$D$15)</f>
        <v>66</v>
      </c>
    </row>
    <row r="432" spans="4:5" x14ac:dyDescent="0.3">
      <c r="D432" s="121">
        <v>430</v>
      </c>
      <c r="E432" s="121">
        <f>LOOKUP($D432,tabellen!$E$4:$E$15,tabellen!$D$4:$D$15)</f>
        <v>66</v>
      </c>
    </row>
    <row r="433" spans="4:5" x14ac:dyDescent="0.3">
      <c r="D433" s="121">
        <v>431</v>
      </c>
      <c r="E433" s="121">
        <f>LOOKUP($D433,tabellen!$E$4:$E$15,tabellen!$D$4:$D$15)</f>
        <v>66</v>
      </c>
    </row>
    <row r="434" spans="4:5" x14ac:dyDescent="0.3">
      <c r="D434" s="121">
        <v>432</v>
      </c>
      <c r="E434" s="121">
        <f>LOOKUP($D434,tabellen!$E$4:$E$15,tabellen!$D$4:$D$15)</f>
        <v>66</v>
      </c>
    </row>
    <row r="435" spans="4:5" x14ac:dyDescent="0.3">
      <c r="D435" s="121">
        <v>433</v>
      </c>
      <c r="E435" s="121">
        <f>LOOKUP($D435,tabellen!$E$4:$E$15,tabellen!$D$4:$D$15)</f>
        <v>66</v>
      </c>
    </row>
    <row r="436" spans="4:5" x14ac:dyDescent="0.3">
      <c r="D436" s="121">
        <v>434</v>
      </c>
      <c r="E436" s="121">
        <f>LOOKUP($D436,tabellen!$E$4:$E$15,tabellen!$D$4:$D$15)</f>
        <v>66</v>
      </c>
    </row>
    <row r="437" spans="4:5" x14ac:dyDescent="0.3">
      <c r="D437" s="121">
        <v>435</v>
      </c>
      <c r="E437" s="121">
        <f>LOOKUP($D437,tabellen!$E$4:$E$15,tabellen!$D$4:$D$15)</f>
        <v>66</v>
      </c>
    </row>
    <row r="438" spans="4:5" x14ac:dyDescent="0.3">
      <c r="D438" s="121">
        <v>436</v>
      </c>
      <c r="E438" s="121">
        <f>LOOKUP($D438,tabellen!$E$4:$E$15,tabellen!$D$4:$D$15)</f>
        <v>66</v>
      </c>
    </row>
    <row r="439" spans="4:5" x14ac:dyDescent="0.3">
      <c r="D439" s="121">
        <v>437</v>
      </c>
      <c r="E439" s="121">
        <f>LOOKUP($D439,tabellen!$E$4:$E$15,tabellen!$D$4:$D$15)</f>
        <v>66</v>
      </c>
    </row>
    <row r="440" spans="4:5" x14ac:dyDescent="0.3">
      <c r="D440" s="121">
        <v>438</v>
      </c>
      <c r="E440" s="121">
        <f>LOOKUP($D440,tabellen!$E$4:$E$15,tabellen!$D$4:$D$15)</f>
        <v>66</v>
      </c>
    </row>
    <row r="441" spans="4:5" x14ac:dyDescent="0.3">
      <c r="D441" s="121">
        <v>439</v>
      </c>
      <c r="E441" s="121">
        <f>LOOKUP($D441,tabellen!$E$4:$E$15,tabellen!$D$4:$D$15)</f>
        <v>66</v>
      </c>
    </row>
    <row r="442" spans="4:5" x14ac:dyDescent="0.3">
      <c r="D442" s="121">
        <v>440</v>
      </c>
      <c r="E442" s="121">
        <f>LOOKUP($D442,tabellen!$E$4:$E$15,tabellen!$D$4:$D$15)</f>
        <v>66</v>
      </c>
    </row>
    <row r="443" spans="4:5" x14ac:dyDescent="0.3">
      <c r="D443" s="121">
        <v>441</v>
      </c>
      <c r="E443" s="121">
        <f>LOOKUP($D443,tabellen!$E$4:$E$15,tabellen!$D$4:$D$15)</f>
        <v>66</v>
      </c>
    </row>
    <row r="444" spans="4:5" x14ac:dyDescent="0.3">
      <c r="D444" s="121">
        <v>442</v>
      </c>
      <c r="E444" s="121">
        <f>LOOKUP($D444,tabellen!$E$4:$E$15,tabellen!$D$4:$D$15)</f>
        <v>66</v>
      </c>
    </row>
    <row r="445" spans="4:5" x14ac:dyDescent="0.3">
      <c r="D445" s="121">
        <v>443</v>
      </c>
      <c r="E445" s="121">
        <f>LOOKUP($D445,tabellen!$E$4:$E$15,tabellen!$D$4:$D$15)</f>
        <v>66</v>
      </c>
    </row>
    <row r="446" spans="4:5" x14ac:dyDescent="0.3">
      <c r="D446" s="121">
        <v>444</v>
      </c>
      <c r="E446" s="121">
        <f>LOOKUP($D446,tabellen!$E$4:$E$15,tabellen!$D$4:$D$15)</f>
        <v>66</v>
      </c>
    </row>
    <row r="447" spans="4:5" x14ac:dyDescent="0.3">
      <c r="D447" s="121">
        <v>445</v>
      </c>
      <c r="E447" s="121">
        <f>LOOKUP($D447,tabellen!$E$4:$E$15,tabellen!$D$4:$D$15)</f>
        <v>66</v>
      </c>
    </row>
    <row r="448" spans="4:5" x14ac:dyDescent="0.3">
      <c r="D448" s="121">
        <v>446</v>
      </c>
      <c r="E448" s="121">
        <f>LOOKUP($D448,tabellen!$E$4:$E$15,tabellen!$D$4:$D$15)</f>
        <v>66</v>
      </c>
    </row>
    <row r="449" spans="4:5" x14ac:dyDescent="0.3">
      <c r="D449" s="121">
        <v>447</v>
      </c>
      <c r="E449" s="121">
        <f>LOOKUP($D449,tabellen!$E$4:$E$15,tabellen!$D$4:$D$15)</f>
        <v>66</v>
      </c>
    </row>
    <row r="450" spans="4:5" x14ac:dyDescent="0.3">
      <c r="D450" s="121">
        <v>448</v>
      </c>
      <c r="E450" s="121">
        <f>LOOKUP($D450,tabellen!$E$4:$E$15,tabellen!$D$4:$D$15)</f>
        <v>66</v>
      </c>
    </row>
    <row r="451" spans="4:5" x14ac:dyDescent="0.3">
      <c r="D451" s="121">
        <v>449</v>
      </c>
      <c r="E451" s="121">
        <f>LOOKUP($D451,tabellen!$E$4:$E$15,tabellen!$D$4:$D$15)</f>
        <v>66</v>
      </c>
    </row>
    <row r="452" spans="4:5" x14ac:dyDescent="0.3">
      <c r="D452" s="121">
        <v>450</v>
      </c>
      <c r="E452" s="121">
        <f>LOOKUP($D452,tabellen!$E$4:$E$15,tabellen!$D$4:$D$15)</f>
        <v>66</v>
      </c>
    </row>
    <row r="453" spans="4:5" x14ac:dyDescent="0.3">
      <c r="D453" s="121">
        <v>451</v>
      </c>
      <c r="E453" s="121">
        <f>LOOKUP($D453,tabellen!$E$4:$E$15,tabellen!$D$4:$D$15)</f>
        <v>66</v>
      </c>
    </row>
    <row r="454" spans="4:5" x14ac:dyDescent="0.3">
      <c r="D454" s="121">
        <v>452</v>
      </c>
      <c r="E454" s="121">
        <f>LOOKUP($D454,tabellen!$E$4:$E$15,tabellen!$D$4:$D$15)</f>
        <v>66</v>
      </c>
    </row>
    <row r="455" spans="4:5" x14ac:dyDescent="0.3">
      <c r="D455" s="121">
        <v>453</v>
      </c>
      <c r="E455" s="121">
        <f>LOOKUP($D455,tabellen!$E$4:$E$15,tabellen!$D$4:$D$15)</f>
        <v>66</v>
      </c>
    </row>
    <row r="456" spans="4:5" x14ac:dyDescent="0.3">
      <c r="D456" s="121">
        <v>454</v>
      </c>
      <c r="E456" s="121">
        <f>LOOKUP($D456,tabellen!$E$4:$E$15,tabellen!$D$4:$D$15)</f>
        <v>66</v>
      </c>
    </row>
    <row r="457" spans="4:5" x14ac:dyDescent="0.3">
      <c r="D457" s="121">
        <v>455</v>
      </c>
      <c r="E457" s="121">
        <f>LOOKUP($D457,tabellen!$E$4:$E$15,tabellen!$D$4:$D$15)</f>
        <v>66</v>
      </c>
    </row>
    <row r="458" spans="4:5" x14ac:dyDescent="0.3">
      <c r="D458" s="121">
        <v>456</v>
      </c>
      <c r="E458" s="121">
        <f>LOOKUP($D458,tabellen!$E$4:$E$15,tabellen!$D$4:$D$15)</f>
        <v>66</v>
      </c>
    </row>
    <row r="459" spans="4:5" x14ac:dyDescent="0.3">
      <c r="D459" s="121">
        <v>457</v>
      </c>
      <c r="E459" s="121">
        <f>LOOKUP($D459,tabellen!$E$4:$E$15,tabellen!$D$4:$D$15)</f>
        <v>66</v>
      </c>
    </row>
    <row r="460" spans="4:5" x14ac:dyDescent="0.3">
      <c r="D460" s="121">
        <v>458</v>
      </c>
      <c r="E460" s="121">
        <f>LOOKUP($D460,tabellen!$E$4:$E$15,tabellen!$D$4:$D$15)</f>
        <v>66</v>
      </c>
    </row>
    <row r="461" spans="4:5" x14ac:dyDescent="0.3">
      <c r="D461" s="121">
        <v>459</v>
      </c>
      <c r="E461" s="121">
        <f>LOOKUP($D461,tabellen!$E$4:$E$15,tabellen!$D$4:$D$15)</f>
        <v>66</v>
      </c>
    </row>
    <row r="462" spans="4:5" x14ac:dyDescent="0.3">
      <c r="D462" s="121">
        <v>460</v>
      </c>
      <c r="E462" s="121">
        <f>LOOKUP($D462,tabellen!$E$4:$E$15,tabellen!$D$4:$D$15)</f>
        <v>66</v>
      </c>
    </row>
    <row r="463" spans="4:5" x14ac:dyDescent="0.3">
      <c r="D463" s="121">
        <v>461</v>
      </c>
      <c r="E463" s="121">
        <f>LOOKUP($D463,tabellen!$E$4:$E$15,tabellen!$D$4:$D$15)</f>
        <v>66</v>
      </c>
    </row>
    <row r="464" spans="4:5" x14ac:dyDescent="0.3">
      <c r="D464" s="121">
        <v>462</v>
      </c>
      <c r="E464" s="121">
        <f>LOOKUP($D464,tabellen!$E$4:$E$15,tabellen!$D$4:$D$15)</f>
        <v>66</v>
      </c>
    </row>
    <row r="465" spans="4:5" x14ac:dyDescent="0.3">
      <c r="D465" s="121">
        <v>463</v>
      </c>
      <c r="E465" s="121">
        <f>LOOKUP($D465,tabellen!$E$4:$E$15,tabellen!$D$4:$D$15)</f>
        <v>66</v>
      </c>
    </row>
    <row r="466" spans="4:5" x14ac:dyDescent="0.3">
      <c r="D466" s="121">
        <v>464</v>
      </c>
      <c r="E466" s="121">
        <f>LOOKUP($D466,tabellen!$E$4:$E$15,tabellen!$D$4:$D$15)</f>
        <v>66</v>
      </c>
    </row>
    <row r="467" spans="4:5" x14ac:dyDescent="0.3">
      <c r="D467" s="121">
        <v>465</v>
      </c>
      <c r="E467" s="121">
        <f>LOOKUP($D467,tabellen!$E$4:$E$15,tabellen!$D$4:$D$15)</f>
        <v>66</v>
      </c>
    </row>
    <row r="468" spans="4:5" x14ac:dyDescent="0.3">
      <c r="D468" s="121">
        <v>466</v>
      </c>
      <c r="E468" s="121">
        <f>LOOKUP($D468,tabellen!$E$4:$E$15,tabellen!$D$4:$D$15)</f>
        <v>66</v>
      </c>
    </row>
    <row r="469" spans="4:5" x14ac:dyDescent="0.3">
      <c r="D469" s="121">
        <v>467</v>
      </c>
      <c r="E469" s="121">
        <f>LOOKUP($D469,tabellen!$E$4:$E$15,tabellen!$D$4:$D$15)</f>
        <v>66</v>
      </c>
    </row>
    <row r="470" spans="4:5" x14ac:dyDescent="0.3">
      <c r="D470" s="121">
        <v>468</v>
      </c>
      <c r="E470" s="121">
        <f>LOOKUP($D470,tabellen!$E$4:$E$15,tabellen!$D$4:$D$15)</f>
        <v>66</v>
      </c>
    </row>
    <row r="471" spans="4:5" x14ac:dyDescent="0.3">
      <c r="D471" s="121">
        <v>469</v>
      </c>
      <c r="E471" s="121">
        <f>LOOKUP($D471,tabellen!$E$4:$E$15,tabellen!$D$4:$D$15)</f>
        <v>66</v>
      </c>
    </row>
    <row r="472" spans="4:5" x14ac:dyDescent="0.3">
      <c r="D472" s="121">
        <v>470</v>
      </c>
      <c r="E472" s="121">
        <f>LOOKUP($D472,tabellen!$E$4:$E$15,tabellen!$D$4:$D$15)</f>
        <v>66</v>
      </c>
    </row>
    <row r="473" spans="4:5" x14ac:dyDescent="0.3">
      <c r="D473" s="121">
        <v>471</v>
      </c>
      <c r="E473" s="121">
        <f>LOOKUP($D473,tabellen!$E$4:$E$15,tabellen!$D$4:$D$15)</f>
        <v>66</v>
      </c>
    </row>
    <row r="474" spans="4:5" x14ac:dyDescent="0.3">
      <c r="D474" s="121">
        <v>472</v>
      </c>
      <c r="E474" s="121">
        <f>LOOKUP($D474,tabellen!$E$4:$E$15,tabellen!$D$4:$D$15)</f>
        <v>66</v>
      </c>
    </row>
    <row r="475" spans="4:5" x14ac:dyDescent="0.3">
      <c r="D475" s="121">
        <v>473</v>
      </c>
      <c r="E475" s="121">
        <f>LOOKUP($D475,tabellen!$E$4:$E$15,tabellen!$D$4:$D$15)</f>
        <v>66</v>
      </c>
    </row>
    <row r="476" spans="4:5" x14ac:dyDescent="0.3">
      <c r="D476" s="121">
        <v>474</v>
      </c>
      <c r="E476" s="121">
        <f>LOOKUP($D476,tabellen!$E$4:$E$15,tabellen!$D$4:$D$15)</f>
        <v>66</v>
      </c>
    </row>
    <row r="477" spans="4:5" x14ac:dyDescent="0.3">
      <c r="D477" s="121">
        <v>475</v>
      </c>
      <c r="E477" s="121">
        <f>LOOKUP($D477,tabellen!$E$4:$E$15,tabellen!$D$4:$D$15)</f>
        <v>66</v>
      </c>
    </row>
    <row r="478" spans="4:5" x14ac:dyDescent="0.3">
      <c r="D478" s="121">
        <v>476</v>
      </c>
      <c r="E478" s="121">
        <f>LOOKUP($D478,tabellen!$E$4:$E$15,tabellen!$D$4:$D$15)</f>
        <v>66</v>
      </c>
    </row>
    <row r="479" spans="4:5" x14ac:dyDescent="0.3">
      <c r="D479" s="121">
        <v>477</v>
      </c>
      <c r="E479" s="121">
        <f>LOOKUP($D479,tabellen!$E$4:$E$15,tabellen!$D$4:$D$15)</f>
        <v>66</v>
      </c>
    </row>
    <row r="480" spans="4:5" x14ac:dyDescent="0.3">
      <c r="D480" s="121">
        <v>478</v>
      </c>
      <c r="E480" s="121">
        <f>LOOKUP($D480,tabellen!$E$4:$E$15,tabellen!$D$4:$D$15)</f>
        <v>66</v>
      </c>
    </row>
    <row r="481" spans="4:5" x14ac:dyDescent="0.3">
      <c r="D481" s="121">
        <v>479</v>
      </c>
      <c r="E481" s="121">
        <f>LOOKUP($D481,tabellen!$E$4:$E$15,tabellen!$D$4:$D$15)</f>
        <v>66</v>
      </c>
    </row>
    <row r="482" spans="4:5" x14ac:dyDescent="0.3">
      <c r="D482" s="121">
        <v>480</v>
      </c>
      <c r="E482" s="121">
        <f>LOOKUP($D482,tabellen!$E$4:$E$15,tabellen!$D$4:$D$15)</f>
        <v>66</v>
      </c>
    </row>
    <row r="483" spans="4:5" x14ac:dyDescent="0.3">
      <c r="D483" s="121">
        <v>481</v>
      </c>
      <c r="E483" s="121">
        <f>LOOKUP($D483,tabellen!$E$4:$E$15,tabellen!$D$4:$D$15)</f>
        <v>66</v>
      </c>
    </row>
    <row r="484" spans="4:5" x14ac:dyDescent="0.3">
      <c r="D484" s="121">
        <v>482</v>
      </c>
      <c r="E484" s="121">
        <f>LOOKUP($D484,tabellen!$E$4:$E$15,tabellen!$D$4:$D$15)</f>
        <v>66</v>
      </c>
    </row>
    <row r="485" spans="4:5" x14ac:dyDescent="0.3">
      <c r="D485" s="121">
        <v>483</v>
      </c>
      <c r="E485" s="121">
        <f>LOOKUP($D485,tabellen!$E$4:$E$15,tabellen!$D$4:$D$15)</f>
        <v>66</v>
      </c>
    </row>
    <row r="486" spans="4:5" x14ac:dyDescent="0.3">
      <c r="D486" s="121">
        <v>484</v>
      </c>
      <c r="E486" s="121">
        <f>LOOKUP($D486,tabellen!$E$4:$E$15,tabellen!$D$4:$D$15)</f>
        <v>66</v>
      </c>
    </row>
    <row r="487" spans="4:5" x14ac:dyDescent="0.3">
      <c r="D487" s="121">
        <v>485</v>
      </c>
      <c r="E487" s="121">
        <f>LOOKUP($D487,tabellen!$E$4:$E$15,tabellen!$D$4:$D$15)</f>
        <v>66</v>
      </c>
    </row>
    <row r="488" spans="4:5" x14ac:dyDescent="0.3">
      <c r="D488" s="121">
        <v>486</v>
      </c>
      <c r="E488" s="121">
        <f>LOOKUP($D488,tabellen!$E$4:$E$15,tabellen!$D$4:$D$15)</f>
        <v>66</v>
      </c>
    </row>
    <row r="489" spans="4:5" x14ac:dyDescent="0.3">
      <c r="D489" s="121">
        <v>487</v>
      </c>
      <c r="E489" s="121">
        <f>LOOKUP($D489,tabellen!$E$4:$E$15,tabellen!$D$4:$D$15)</f>
        <v>66</v>
      </c>
    </row>
    <row r="490" spans="4:5" x14ac:dyDescent="0.3">
      <c r="D490" s="121">
        <v>488</v>
      </c>
      <c r="E490" s="121">
        <f>LOOKUP($D490,tabellen!$E$4:$E$15,tabellen!$D$4:$D$15)</f>
        <v>66</v>
      </c>
    </row>
    <row r="491" spans="4:5" x14ac:dyDescent="0.3">
      <c r="D491" s="121">
        <v>489</v>
      </c>
      <c r="E491" s="121">
        <f>LOOKUP($D491,tabellen!$E$4:$E$15,tabellen!$D$4:$D$15)</f>
        <v>66</v>
      </c>
    </row>
    <row r="492" spans="4:5" x14ac:dyDescent="0.3">
      <c r="D492" s="121">
        <v>490</v>
      </c>
      <c r="E492" s="121">
        <f>LOOKUP($D492,tabellen!$E$4:$E$15,tabellen!$D$4:$D$15)</f>
        <v>66</v>
      </c>
    </row>
    <row r="493" spans="4:5" x14ac:dyDescent="0.3">
      <c r="D493" s="121">
        <v>491</v>
      </c>
      <c r="E493" s="121">
        <f>LOOKUP($D493,tabellen!$E$4:$E$15,tabellen!$D$4:$D$15)</f>
        <v>66</v>
      </c>
    </row>
    <row r="494" spans="4:5" x14ac:dyDescent="0.3">
      <c r="D494" s="121">
        <v>492</v>
      </c>
      <c r="E494" s="121">
        <f>LOOKUP($D494,tabellen!$E$4:$E$15,tabellen!$D$4:$D$15)</f>
        <v>66</v>
      </c>
    </row>
    <row r="495" spans="4:5" x14ac:dyDescent="0.3">
      <c r="D495" s="121">
        <v>493</v>
      </c>
      <c r="E495" s="121">
        <f>LOOKUP($D495,tabellen!$E$4:$E$15,tabellen!$D$4:$D$15)</f>
        <v>66</v>
      </c>
    </row>
    <row r="496" spans="4:5" x14ac:dyDescent="0.3">
      <c r="D496" s="121">
        <v>494</v>
      </c>
      <c r="E496" s="121">
        <f>LOOKUP($D496,tabellen!$E$4:$E$15,tabellen!$D$4:$D$15)</f>
        <v>66</v>
      </c>
    </row>
    <row r="497" spans="4:5" x14ac:dyDescent="0.3">
      <c r="D497" s="121">
        <v>495</v>
      </c>
      <c r="E497" s="121">
        <f>LOOKUP($D497,tabellen!$E$4:$E$15,tabellen!$D$4:$D$15)</f>
        <v>66</v>
      </c>
    </row>
    <row r="498" spans="4:5" x14ac:dyDescent="0.3">
      <c r="D498" s="121">
        <v>496</v>
      </c>
      <c r="E498" s="121">
        <f>LOOKUP($D498,tabellen!$E$4:$E$15,tabellen!$D$4:$D$15)</f>
        <v>66</v>
      </c>
    </row>
    <row r="499" spans="4:5" x14ac:dyDescent="0.3">
      <c r="D499" s="121">
        <v>497</v>
      </c>
      <c r="E499" s="121">
        <f>LOOKUP($D499,tabellen!$E$4:$E$15,tabellen!$D$4:$D$15)</f>
        <v>66</v>
      </c>
    </row>
    <row r="500" spans="4:5" x14ac:dyDescent="0.3">
      <c r="D500" s="121">
        <v>498</v>
      </c>
      <c r="E500" s="121">
        <f>LOOKUP($D500,tabellen!$E$4:$E$15,tabellen!$D$4:$D$15)</f>
        <v>66</v>
      </c>
    </row>
    <row r="501" spans="4:5" x14ac:dyDescent="0.3">
      <c r="D501" s="121">
        <v>499</v>
      </c>
      <c r="E501" s="121">
        <f>LOOKUP($D501,tabellen!$E$4:$E$15,tabellen!$D$4:$D$15)</f>
        <v>66</v>
      </c>
    </row>
    <row r="502" spans="4:5" x14ac:dyDescent="0.3">
      <c r="D502" s="121">
        <v>500</v>
      </c>
      <c r="E502" s="121">
        <f>LOOKUP($D502,tabellen!$E$4:$E$15,tabellen!$D$4:$D$15)</f>
        <v>66</v>
      </c>
    </row>
    <row r="503" spans="4:5" x14ac:dyDescent="0.3">
      <c r="D503" s="121">
        <v>501</v>
      </c>
      <c r="E503" s="121">
        <f>LOOKUP($D503,tabellen!$E$4:$E$15,tabellen!$D$4:$D$15)</f>
        <v>66</v>
      </c>
    </row>
    <row r="504" spans="4:5" x14ac:dyDescent="0.3">
      <c r="D504" s="121">
        <v>502</v>
      </c>
      <c r="E504" s="121">
        <f>LOOKUP($D504,tabellen!$E$4:$E$15,tabellen!$D$4:$D$15)</f>
        <v>66</v>
      </c>
    </row>
    <row r="505" spans="4:5" x14ac:dyDescent="0.3">
      <c r="D505" s="121">
        <v>503</v>
      </c>
      <c r="E505" s="121">
        <f>LOOKUP($D505,tabellen!$E$4:$E$15,tabellen!$D$4:$D$15)</f>
        <v>66</v>
      </c>
    </row>
    <row r="506" spans="4:5" x14ac:dyDescent="0.3">
      <c r="D506" s="121">
        <v>504</v>
      </c>
      <c r="E506" s="121">
        <f>LOOKUP($D506,tabellen!$E$4:$E$15,tabellen!$D$4:$D$15)</f>
        <v>66</v>
      </c>
    </row>
    <row r="507" spans="4:5" x14ac:dyDescent="0.3">
      <c r="D507" s="121">
        <v>505</v>
      </c>
      <c r="E507" s="121">
        <f>LOOKUP($D507,tabellen!$E$4:$E$15,tabellen!$D$4:$D$15)</f>
        <v>66</v>
      </c>
    </row>
    <row r="508" spans="4:5" x14ac:dyDescent="0.3">
      <c r="D508" s="121">
        <v>506</v>
      </c>
      <c r="E508" s="121">
        <f>LOOKUP($D508,tabellen!$E$4:$E$15,tabellen!$D$4:$D$15)</f>
        <v>66</v>
      </c>
    </row>
    <row r="509" spans="4:5" x14ac:dyDescent="0.3">
      <c r="D509" s="121">
        <v>507</v>
      </c>
      <c r="E509" s="121">
        <f>LOOKUP($D509,tabellen!$E$4:$E$15,tabellen!$D$4:$D$15)</f>
        <v>66</v>
      </c>
    </row>
    <row r="510" spans="4:5" x14ac:dyDescent="0.3">
      <c r="D510" s="121">
        <v>508</v>
      </c>
      <c r="E510" s="121">
        <f>LOOKUP($D510,tabellen!$E$4:$E$15,tabellen!$D$4:$D$15)</f>
        <v>66</v>
      </c>
    </row>
    <row r="511" spans="4:5" x14ac:dyDescent="0.3">
      <c r="D511" s="121">
        <v>509</v>
      </c>
      <c r="E511" s="121">
        <f>LOOKUP($D511,tabellen!$E$4:$E$15,tabellen!$D$4:$D$15)</f>
        <v>66</v>
      </c>
    </row>
    <row r="512" spans="4:5" x14ac:dyDescent="0.3">
      <c r="D512" s="121">
        <v>510</v>
      </c>
      <c r="E512" s="121">
        <f>LOOKUP($D512,tabellen!$E$4:$E$15,tabellen!$D$4:$D$15)</f>
        <v>66</v>
      </c>
    </row>
    <row r="513" spans="4:5" x14ac:dyDescent="0.3">
      <c r="D513" s="121">
        <v>511</v>
      </c>
      <c r="E513" s="121">
        <f>LOOKUP($D513,tabellen!$E$4:$E$15,tabellen!$D$4:$D$15)</f>
        <v>66</v>
      </c>
    </row>
    <row r="514" spans="4:5" x14ac:dyDescent="0.3">
      <c r="D514" s="121">
        <v>512</v>
      </c>
      <c r="E514" s="121">
        <f>LOOKUP($D514,tabellen!$E$4:$E$15,tabellen!$D$4:$D$15)</f>
        <v>66</v>
      </c>
    </row>
    <row r="515" spans="4:5" x14ac:dyDescent="0.3">
      <c r="D515" s="121">
        <v>513</v>
      </c>
      <c r="E515" s="121">
        <f>LOOKUP($D515,tabellen!$E$4:$E$15,tabellen!$D$4:$D$15)</f>
        <v>66</v>
      </c>
    </row>
    <row r="516" spans="4:5" x14ac:dyDescent="0.3">
      <c r="D516" s="121">
        <v>514</v>
      </c>
      <c r="E516" s="121">
        <f>LOOKUP($D516,tabellen!$E$4:$E$15,tabellen!$D$4:$D$15)</f>
        <v>66</v>
      </c>
    </row>
    <row r="517" spans="4:5" x14ac:dyDescent="0.3">
      <c r="D517" s="121">
        <v>515</v>
      </c>
      <c r="E517" s="121">
        <f>LOOKUP($D517,tabellen!$E$4:$E$15,tabellen!$D$4:$D$15)</f>
        <v>66</v>
      </c>
    </row>
    <row r="518" spans="4:5" x14ac:dyDescent="0.3">
      <c r="D518" s="121">
        <v>516</v>
      </c>
      <c r="E518" s="121">
        <f>LOOKUP($D518,tabellen!$E$4:$E$15,tabellen!$D$4:$D$15)</f>
        <v>66</v>
      </c>
    </row>
    <row r="519" spans="4:5" x14ac:dyDescent="0.3">
      <c r="D519" s="121">
        <v>517</v>
      </c>
      <c r="E519" s="121">
        <f>LOOKUP($D519,tabellen!$E$4:$E$15,tabellen!$D$4:$D$15)</f>
        <v>66</v>
      </c>
    </row>
    <row r="520" spans="4:5" x14ac:dyDescent="0.3">
      <c r="D520" s="121">
        <v>518</v>
      </c>
      <c r="E520" s="121">
        <f>LOOKUP($D520,tabellen!$E$4:$E$15,tabellen!$D$4:$D$15)</f>
        <v>66</v>
      </c>
    </row>
    <row r="521" spans="4:5" x14ac:dyDescent="0.3">
      <c r="D521" s="121">
        <v>519</v>
      </c>
      <c r="E521" s="121">
        <f>LOOKUP($D521,tabellen!$E$4:$E$15,tabellen!$D$4:$D$15)</f>
        <v>66</v>
      </c>
    </row>
    <row r="522" spans="4:5" x14ac:dyDescent="0.3">
      <c r="D522" s="121">
        <v>520</v>
      </c>
      <c r="E522" s="121">
        <f>LOOKUP($D522,tabellen!$E$4:$E$15,tabellen!$D$4:$D$15)</f>
        <v>66</v>
      </c>
    </row>
    <row r="523" spans="4:5" x14ac:dyDescent="0.3">
      <c r="D523" s="121">
        <v>521</v>
      </c>
      <c r="E523" s="121">
        <f>LOOKUP($D523,tabellen!$E$4:$E$15,tabellen!$D$4:$D$15)</f>
        <v>66</v>
      </c>
    </row>
    <row r="524" spans="4:5" x14ac:dyDescent="0.3">
      <c r="D524" s="121">
        <v>522</v>
      </c>
      <c r="E524" s="121">
        <f>LOOKUP($D524,tabellen!$E$4:$E$15,tabellen!$D$4:$D$15)</f>
        <v>66</v>
      </c>
    </row>
    <row r="525" spans="4:5" x14ac:dyDescent="0.3">
      <c r="D525" s="121">
        <v>523</v>
      </c>
      <c r="E525" s="121">
        <f>LOOKUP($D525,tabellen!$E$4:$E$15,tabellen!$D$4:$D$15)</f>
        <v>66</v>
      </c>
    </row>
    <row r="526" spans="4:5" x14ac:dyDescent="0.3">
      <c r="D526" s="121">
        <v>524</v>
      </c>
      <c r="E526" s="121">
        <f>LOOKUP($D526,tabellen!$E$4:$E$15,tabellen!$D$4:$D$15)</f>
        <v>66</v>
      </c>
    </row>
    <row r="527" spans="4:5" x14ac:dyDescent="0.3">
      <c r="D527" s="121">
        <v>525</v>
      </c>
      <c r="E527" s="121">
        <f>LOOKUP($D527,tabellen!$E$4:$E$15,tabellen!$D$4:$D$15)</f>
        <v>66</v>
      </c>
    </row>
    <row r="528" spans="4:5" x14ac:dyDescent="0.3">
      <c r="D528" s="121">
        <v>526</v>
      </c>
      <c r="E528" s="121">
        <f>LOOKUP($D528,tabellen!$E$4:$E$15,tabellen!$D$4:$D$15)</f>
        <v>66</v>
      </c>
    </row>
    <row r="529" spans="4:5" x14ac:dyDescent="0.3">
      <c r="D529" s="121">
        <v>527</v>
      </c>
      <c r="E529" s="121">
        <f>LOOKUP($D529,tabellen!$E$4:$E$15,tabellen!$D$4:$D$15)</f>
        <v>66</v>
      </c>
    </row>
    <row r="530" spans="4:5" x14ac:dyDescent="0.3">
      <c r="D530" s="121">
        <v>528</v>
      </c>
      <c r="E530" s="121">
        <f>LOOKUP($D530,tabellen!$E$4:$E$15,tabellen!$D$4:$D$15)</f>
        <v>66</v>
      </c>
    </row>
    <row r="531" spans="4:5" x14ac:dyDescent="0.3">
      <c r="D531" s="121">
        <v>529</v>
      </c>
      <c r="E531" s="121">
        <f>LOOKUP($D531,tabellen!$E$4:$E$15,tabellen!$D$4:$D$15)</f>
        <v>66</v>
      </c>
    </row>
    <row r="532" spans="4:5" x14ac:dyDescent="0.3">
      <c r="D532" s="121">
        <v>530</v>
      </c>
      <c r="E532" s="121">
        <f>LOOKUP($D532,tabellen!$E$4:$E$15,tabellen!$D$4:$D$15)</f>
        <v>66</v>
      </c>
    </row>
    <row r="533" spans="4:5" x14ac:dyDescent="0.3">
      <c r="D533" s="121">
        <v>531</v>
      </c>
      <c r="E533" s="121">
        <f>LOOKUP($D533,tabellen!$E$4:$E$15,tabellen!$D$4:$D$15)</f>
        <v>66</v>
      </c>
    </row>
    <row r="534" spans="4:5" x14ac:dyDescent="0.3">
      <c r="D534" s="121">
        <v>532</v>
      </c>
      <c r="E534" s="121">
        <f>LOOKUP($D534,tabellen!$E$4:$E$15,tabellen!$D$4:$D$15)</f>
        <v>66</v>
      </c>
    </row>
    <row r="535" spans="4:5" x14ac:dyDescent="0.3">
      <c r="D535" s="121">
        <v>533</v>
      </c>
      <c r="E535" s="121">
        <f>LOOKUP($D535,tabellen!$E$4:$E$15,tabellen!$D$4:$D$15)</f>
        <v>66</v>
      </c>
    </row>
    <row r="536" spans="4:5" x14ac:dyDescent="0.3">
      <c r="D536" s="121">
        <v>534</v>
      </c>
      <c r="E536" s="121">
        <f>LOOKUP($D536,tabellen!$E$4:$E$15,tabellen!$D$4:$D$15)</f>
        <v>66</v>
      </c>
    </row>
    <row r="537" spans="4:5" x14ac:dyDescent="0.3">
      <c r="D537" s="121">
        <v>535</v>
      </c>
      <c r="E537" s="121">
        <f>LOOKUP($D537,tabellen!$E$4:$E$15,tabellen!$D$4:$D$15)</f>
        <v>66</v>
      </c>
    </row>
    <row r="538" spans="4:5" x14ac:dyDescent="0.3">
      <c r="D538" s="121">
        <v>536</v>
      </c>
      <c r="E538" s="121">
        <f>LOOKUP($D538,tabellen!$E$4:$E$15,tabellen!$D$4:$D$15)</f>
        <v>66</v>
      </c>
    </row>
    <row r="539" spans="4:5" x14ac:dyDescent="0.3">
      <c r="D539" s="121">
        <v>537</v>
      </c>
      <c r="E539" s="121">
        <f>LOOKUP($D539,tabellen!$E$4:$E$15,tabellen!$D$4:$D$15)</f>
        <v>66</v>
      </c>
    </row>
    <row r="540" spans="4:5" x14ac:dyDescent="0.3">
      <c r="D540" s="121">
        <v>538</v>
      </c>
      <c r="E540" s="121">
        <f>LOOKUP($D540,tabellen!$E$4:$E$15,tabellen!$D$4:$D$15)</f>
        <v>66</v>
      </c>
    </row>
    <row r="541" spans="4:5" x14ac:dyDescent="0.3">
      <c r="D541" s="121">
        <v>539</v>
      </c>
      <c r="E541" s="121">
        <f>LOOKUP($D541,tabellen!$E$4:$E$15,tabellen!$D$4:$D$15)</f>
        <v>66</v>
      </c>
    </row>
    <row r="542" spans="4:5" x14ac:dyDescent="0.3">
      <c r="D542" s="121">
        <v>540</v>
      </c>
      <c r="E542" s="121">
        <f>LOOKUP($D542,tabellen!$E$4:$E$15,tabellen!$D$4:$D$15)</f>
        <v>66</v>
      </c>
    </row>
    <row r="543" spans="4:5" x14ac:dyDescent="0.3">
      <c r="D543" s="121">
        <v>541</v>
      </c>
      <c r="E543" s="121">
        <f>LOOKUP($D543,tabellen!$E$4:$E$15,tabellen!$D$4:$D$15)</f>
        <v>66</v>
      </c>
    </row>
    <row r="544" spans="4:5" x14ac:dyDescent="0.3">
      <c r="D544" s="121">
        <v>542</v>
      </c>
      <c r="E544" s="121">
        <f>LOOKUP($D544,tabellen!$E$4:$E$15,tabellen!$D$4:$D$15)</f>
        <v>66</v>
      </c>
    </row>
    <row r="545" spans="4:5" x14ac:dyDescent="0.3">
      <c r="D545" s="121">
        <v>543</v>
      </c>
      <c r="E545" s="121">
        <f>LOOKUP($D545,tabellen!$E$4:$E$15,tabellen!$D$4:$D$15)</f>
        <v>66</v>
      </c>
    </row>
    <row r="546" spans="4:5" x14ac:dyDescent="0.3">
      <c r="D546" s="121">
        <v>544</v>
      </c>
      <c r="E546" s="121">
        <f>LOOKUP($D546,tabellen!$E$4:$E$15,tabellen!$D$4:$D$15)</f>
        <v>66</v>
      </c>
    </row>
    <row r="547" spans="4:5" x14ac:dyDescent="0.3">
      <c r="D547" s="121">
        <v>545</v>
      </c>
      <c r="E547" s="121">
        <f>LOOKUP($D547,tabellen!$E$4:$E$15,tabellen!$D$4:$D$15)</f>
        <v>66</v>
      </c>
    </row>
    <row r="548" spans="4:5" x14ac:dyDescent="0.3">
      <c r="D548" s="121">
        <v>546</v>
      </c>
      <c r="E548" s="121">
        <f>LOOKUP($D548,tabellen!$E$4:$E$15,tabellen!$D$4:$D$15)</f>
        <v>66</v>
      </c>
    </row>
    <row r="549" spans="4:5" x14ac:dyDescent="0.3">
      <c r="D549" s="121">
        <v>547</v>
      </c>
      <c r="E549" s="121">
        <f>LOOKUP($D549,tabellen!$E$4:$E$15,tabellen!$D$4:$D$15)</f>
        <v>66</v>
      </c>
    </row>
    <row r="550" spans="4:5" x14ac:dyDescent="0.3">
      <c r="D550" s="121">
        <v>548</v>
      </c>
      <c r="E550" s="121">
        <f>LOOKUP($D550,tabellen!$E$4:$E$15,tabellen!$D$4:$D$15)</f>
        <v>66</v>
      </c>
    </row>
    <row r="551" spans="4:5" x14ac:dyDescent="0.3">
      <c r="D551" s="121">
        <v>549</v>
      </c>
      <c r="E551" s="121">
        <f>LOOKUP($D551,tabellen!$E$4:$E$15,tabellen!$D$4:$D$15)</f>
        <v>66</v>
      </c>
    </row>
    <row r="552" spans="4:5" x14ac:dyDescent="0.3">
      <c r="D552" s="121">
        <v>550</v>
      </c>
      <c r="E552" s="121">
        <f>LOOKUP($D552,tabellen!$E$4:$E$15,tabellen!$D$4:$D$15)</f>
        <v>66</v>
      </c>
    </row>
    <row r="553" spans="4:5" x14ac:dyDescent="0.3">
      <c r="D553" s="121">
        <v>551</v>
      </c>
      <c r="E553" s="121">
        <f>LOOKUP($D553,tabellen!$E$4:$E$15,tabellen!$D$4:$D$15)</f>
        <v>66</v>
      </c>
    </row>
    <row r="554" spans="4:5" x14ac:dyDescent="0.3">
      <c r="D554" s="121">
        <v>552</v>
      </c>
      <c r="E554" s="121">
        <f>LOOKUP($D554,tabellen!$E$4:$E$15,tabellen!$D$4:$D$15)</f>
        <v>66</v>
      </c>
    </row>
    <row r="555" spans="4:5" x14ac:dyDescent="0.3">
      <c r="D555" s="121">
        <v>553</v>
      </c>
      <c r="E555" s="121">
        <f>LOOKUP($D555,tabellen!$E$4:$E$15,tabellen!$D$4:$D$15)</f>
        <v>66</v>
      </c>
    </row>
    <row r="556" spans="4:5" x14ac:dyDescent="0.3">
      <c r="D556" s="121">
        <v>554</v>
      </c>
      <c r="E556" s="121">
        <f>LOOKUP($D556,tabellen!$E$4:$E$15,tabellen!$D$4:$D$15)</f>
        <v>66</v>
      </c>
    </row>
    <row r="557" spans="4:5" x14ac:dyDescent="0.3">
      <c r="D557" s="121">
        <v>555</v>
      </c>
      <c r="E557" s="121">
        <f>LOOKUP($D557,tabellen!$E$4:$E$15,tabellen!$D$4:$D$15)</f>
        <v>66</v>
      </c>
    </row>
    <row r="558" spans="4:5" x14ac:dyDescent="0.3">
      <c r="D558" s="121">
        <v>556</v>
      </c>
      <c r="E558" s="121">
        <f>LOOKUP($D558,tabellen!$E$4:$E$15,tabellen!$D$4:$D$15)</f>
        <v>66</v>
      </c>
    </row>
    <row r="559" spans="4:5" x14ac:dyDescent="0.3">
      <c r="D559" s="121">
        <v>557</v>
      </c>
      <c r="E559" s="121">
        <f>LOOKUP($D559,tabellen!$E$4:$E$15,tabellen!$D$4:$D$15)</f>
        <v>66</v>
      </c>
    </row>
    <row r="560" spans="4:5" x14ac:dyDescent="0.3">
      <c r="D560" s="121">
        <v>558</v>
      </c>
      <c r="E560" s="121">
        <f>LOOKUP($D560,tabellen!$E$4:$E$15,tabellen!$D$4:$D$15)</f>
        <v>66</v>
      </c>
    </row>
    <row r="561" spans="4:5" x14ac:dyDescent="0.3">
      <c r="D561" s="121">
        <v>559</v>
      </c>
      <c r="E561" s="121">
        <f>LOOKUP($D561,tabellen!$E$4:$E$15,tabellen!$D$4:$D$15)</f>
        <v>66</v>
      </c>
    </row>
    <row r="562" spans="4:5" x14ac:dyDescent="0.3">
      <c r="D562" s="121">
        <v>560</v>
      </c>
      <c r="E562" s="121">
        <f>LOOKUP($D562,tabellen!$E$4:$E$15,tabellen!$D$4:$D$15)</f>
        <v>66</v>
      </c>
    </row>
    <row r="563" spans="4:5" x14ac:dyDescent="0.3">
      <c r="D563" s="121">
        <v>561</v>
      </c>
      <c r="E563" s="121">
        <f>LOOKUP($D563,tabellen!$E$4:$E$15,tabellen!$D$4:$D$15)</f>
        <v>66</v>
      </c>
    </row>
    <row r="564" spans="4:5" x14ac:dyDescent="0.3">
      <c r="D564" s="121">
        <v>562</v>
      </c>
      <c r="E564" s="121">
        <f>LOOKUP($D564,tabellen!$E$4:$E$15,tabellen!$D$4:$D$15)</f>
        <v>66</v>
      </c>
    </row>
    <row r="565" spans="4:5" x14ac:dyDescent="0.3">
      <c r="D565" s="121">
        <v>563</v>
      </c>
      <c r="E565" s="121">
        <f>LOOKUP($D565,tabellen!$E$4:$E$15,tabellen!$D$4:$D$15)</f>
        <v>66</v>
      </c>
    </row>
    <row r="566" spans="4:5" x14ac:dyDescent="0.3">
      <c r="D566" s="121">
        <v>564</v>
      </c>
      <c r="E566" s="121">
        <f>LOOKUP($D566,tabellen!$E$4:$E$15,tabellen!$D$4:$D$15)</f>
        <v>66</v>
      </c>
    </row>
    <row r="567" spans="4:5" x14ac:dyDescent="0.3">
      <c r="D567" s="121">
        <v>565</v>
      </c>
      <c r="E567" s="121">
        <f>LOOKUP($D567,tabellen!$E$4:$E$15,tabellen!$D$4:$D$15)</f>
        <v>66</v>
      </c>
    </row>
    <row r="568" spans="4:5" x14ac:dyDescent="0.3">
      <c r="D568" s="121">
        <v>566</v>
      </c>
      <c r="E568" s="121">
        <f>LOOKUP($D568,tabellen!$E$4:$E$15,tabellen!$D$4:$D$15)</f>
        <v>66</v>
      </c>
    </row>
    <row r="569" spans="4:5" x14ac:dyDescent="0.3">
      <c r="D569" s="121">
        <v>567</v>
      </c>
      <c r="E569" s="121">
        <f>LOOKUP($D569,tabellen!$E$4:$E$15,tabellen!$D$4:$D$15)</f>
        <v>66</v>
      </c>
    </row>
    <row r="570" spans="4:5" x14ac:dyDescent="0.3">
      <c r="D570" s="121">
        <v>568</v>
      </c>
      <c r="E570" s="121">
        <f>LOOKUP($D570,tabellen!$E$4:$E$15,tabellen!$D$4:$D$15)</f>
        <v>66</v>
      </c>
    </row>
    <row r="571" spans="4:5" x14ac:dyDescent="0.3">
      <c r="D571" s="121">
        <v>569</v>
      </c>
      <c r="E571" s="121">
        <f>LOOKUP($D571,tabellen!$E$4:$E$15,tabellen!$D$4:$D$15)</f>
        <v>66</v>
      </c>
    </row>
    <row r="572" spans="4:5" x14ac:dyDescent="0.3">
      <c r="D572" s="121">
        <v>570</v>
      </c>
      <c r="E572" s="121">
        <f>LOOKUP($D572,tabellen!$E$4:$E$15,tabellen!$D$4:$D$15)</f>
        <v>66</v>
      </c>
    </row>
    <row r="573" spans="4:5" x14ac:dyDescent="0.3">
      <c r="D573" s="121">
        <v>571</v>
      </c>
      <c r="E573" s="121">
        <f>LOOKUP($D573,tabellen!$E$4:$E$15,tabellen!$D$4:$D$15)</f>
        <v>66</v>
      </c>
    </row>
    <row r="574" spans="4:5" x14ac:dyDescent="0.3">
      <c r="D574" s="121">
        <v>572</v>
      </c>
      <c r="E574" s="121">
        <f>LOOKUP($D574,tabellen!$E$4:$E$15,tabellen!$D$4:$D$15)</f>
        <v>66</v>
      </c>
    </row>
    <row r="575" spans="4:5" x14ac:dyDescent="0.3">
      <c r="D575" s="121">
        <v>573</v>
      </c>
      <c r="E575" s="121">
        <f>LOOKUP($D575,tabellen!$E$4:$E$15,tabellen!$D$4:$D$15)</f>
        <v>66</v>
      </c>
    </row>
    <row r="576" spans="4:5" x14ac:dyDescent="0.3">
      <c r="D576" s="121">
        <v>574</v>
      </c>
      <c r="E576" s="121">
        <f>LOOKUP($D576,tabellen!$E$4:$E$15,tabellen!$D$4:$D$15)</f>
        <v>66</v>
      </c>
    </row>
    <row r="577" spans="4:5" x14ac:dyDescent="0.3">
      <c r="D577" s="121">
        <v>575</v>
      </c>
      <c r="E577" s="121">
        <f>LOOKUP($D577,tabellen!$E$4:$E$15,tabellen!$D$4:$D$15)</f>
        <v>66</v>
      </c>
    </row>
    <row r="578" spans="4:5" x14ac:dyDescent="0.3">
      <c r="D578" s="121">
        <v>576</v>
      </c>
      <c r="E578" s="121">
        <f>LOOKUP($D578,tabellen!$E$4:$E$15,tabellen!$D$4:$D$15)</f>
        <v>66</v>
      </c>
    </row>
    <row r="579" spans="4:5" x14ac:dyDescent="0.3">
      <c r="D579" s="121">
        <v>577</v>
      </c>
      <c r="E579" s="121">
        <f>LOOKUP($D579,tabellen!$E$4:$E$15,tabellen!$D$4:$D$15)</f>
        <v>66</v>
      </c>
    </row>
    <row r="580" spans="4:5" x14ac:dyDescent="0.3">
      <c r="D580" s="121">
        <v>578</v>
      </c>
      <c r="E580" s="121">
        <f>LOOKUP($D580,tabellen!$E$4:$E$15,tabellen!$D$4:$D$15)</f>
        <v>66</v>
      </c>
    </row>
    <row r="581" spans="4:5" x14ac:dyDescent="0.3">
      <c r="D581" s="121">
        <v>579</v>
      </c>
      <c r="E581" s="121">
        <f>LOOKUP($D581,tabellen!$E$4:$E$15,tabellen!$D$4:$D$15)</f>
        <v>66</v>
      </c>
    </row>
    <row r="582" spans="4:5" x14ac:dyDescent="0.3">
      <c r="D582" s="121">
        <v>580</v>
      </c>
      <c r="E582" s="121">
        <f>LOOKUP($D582,tabellen!$E$4:$E$15,tabellen!$D$4:$D$15)</f>
        <v>66</v>
      </c>
    </row>
    <row r="583" spans="4:5" x14ac:dyDescent="0.3">
      <c r="D583" s="121">
        <v>581</v>
      </c>
      <c r="E583" s="121">
        <f>LOOKUP($D583,tabellen!$E$4:$E$15,tabellen!$D$4:$D$15)</f>
        <v>66</v>
      </c>
    </row>
    <row r="584" spans="4:5" x14ac:dyDescent="0.3">
      <c r="D584" s="121">
        <v>582</v>
      </c>
      <c r="E584" s="121">
        <f>LOOKUP($D584,tabellen!$E$4:$E$15,tabellen!$D$4:$D$15)</f>
        <v>66</v>
      </c>
    </row>
    <row r="585" spans="4:5" x14ac:dyDescent="0.3">
      <c r="D585" s="121">
        <v>583</v>
      </c>
      <c r="E585" s="121">
        <f>LOOKUP($D585,tabellen!$E$4:$E$15,tabellen!$D$4:$D$15)</f>
        <v>66</v>
      </c>
    </row>
    <row r="586" spans="4:5" x14ac:dyDescent="0.3">
      <c r="D586" s="121">
        <v>584</v>
      </c>
      <c r="E586" s="121">
        <f>LOOKUP($D586,tabellen!$E$4:$E$15,tabellen!$D$4:$D$15)</f>
        <v>66</v>
      </c>
    </row>
    <row r="587" spans="4:5" x14ac:dyDescent="0.3">
      <c r="D587" s="121">
        <v>585</v>
      </c>
      <c r="E587" s="121">
        <f>LOOKUP($D587,tabellen!$E$4:$E$15,tabellen!$D$4:$D$15)</f>
        <v>66</v>
      </c>
    </row>
    <row r="588" spans="4:5" x14ac:dyDescent="0.3">
      <c r="D588" s="121">
        <v>586</v>
      </c>
      <c r="E588" s="121">
        <f>LOOKUP($D588,tabellen!$E$4:$E$15,tabellen!$D$4:$D$15)</f>
        <v>66</v>
      </c>
    </row>
    <row r="589" spans="4:5" x14ac:dyDescent="0.3">
      <c r="D589" s="121">
        <v>587</v>
      </c>
      <c r="E589" s="121">
        <f>LOOKUP($D589,tabellen!$E$4:$E$15,tabellen!$D$4:$D$15)</f>
        <v>66</v>
      </c>
    </row>
    <row r="590" spans="4:5" x14ac:dyDescent="0.3">
      <c r="D590" s="121">
        <v>588</v>
      </c>
      <c r="E590" s="121">
        <f>LOOKUP($D590,tabellen!$E$4:$E$15,tabellen!$D$4:$D$15)</f>
        <v>66</v>
      </c>
    </row>
    <row r="591" spans="4:5" x14ac:dyDescent="0.3">
      <c r="D591" s="121">
        <v>589</v>
      </c>
      <c r="E591" s="121">
        <f>LOOKUP($D591,tabellen!$E$4:$E$15,tabellen!$D$4:$D$15)</f>
        <v>66</v>
      </c>
    </row>
    <row r="592" spans="4:5" x14ac:dyDescent="0.3">
      <c r="D592" s="121">
        <v>590</v>
      </c>
      <c r="E592" s="121">
        <f>LOOKUP($D592,tabellen!$E$4:$E$15,tabellen!$D$4:$D$15)</f>
        <v>66</v>
      </c>
    </row>
    <row r="593" spans="4:5" x14ac:dyDescent="0.3">
      <c r="D593" s="121">
        <v>591</v>
      </c>
      <c r="E593" s="121">
        <f>LOOKUP($D593,tabellen!$E$4:$E$15,tabellen!$D$4:$D$15)</f>
        <v>66</v>
      </c>
    </row>
    <row r="594" spans="4:5" x14ac:dyDescent="0.3">
      <c r="D594" s="121">
        <v>592</v>
      </c>
      <c r="E594" s="121">
        <f>LOOKUP($D594,tabellen!$E$4:$E$15,tabellen!$D$4:$D$15)</f>
        <v>66</v>
      </c>
    </row>
    <row r="595" spans="4:5" x14ac:dyDescent="0.3">
      <c r="D595" s="121">
        <v>593</v>
      </c>
      <c r="E595" s="121">
        <f>LOOKUP($D595,tabellen!$E$4:$E$15,tabellen!$D$4:$D$15)</f>
        <v>66</v>
      </c>
    </row>
    <row r="596" spans="4:5" x14ac:dyDescent="0.3">
      <c r="D596" s="121">
        <v>594</v>
      </c>
      <c r="E596" s="121">
        <f>LOOKUP($D596,tabellen!$E$4:$E$15,tabellen!$D$4:$D$15)</f>
        <v>66</v>
      </c>
    </row>
    <row r="597" spans="4:5" x14ac:dyDescent="0.3">
      <c r="D597" s="121">
        <v>595</v>
      </c>
      <c r="E597" s="121">
        <f>LOOKUP($D597,tabellen!$E$4:$E$15,tabellen!$D$4:$D$15)</f>
        <v>66</v>
      </c>
    </row>
    <row r="598" spans="4:5" x14ac:dyDescent="0.3">
      <c r="D598" s="121">
        <v>596</v>
      </c>
      <c r="E598" s="121">
        <f>LOOKUP($D598,tabellen!$E$4:$E$15,tabellen!$D$4:$D$15)</f>
        <v>66</v>
      </c>
    </row>
    <row r="599" spans="4:5" x14ac:dyDescent="0.3">
      <c r="D599" s="121">
        <v>597</v>
      </c>
      <c r="E599" s="121">
        <f>LOOKUP($D599,tabellen!$E$4:$E$15,tabellen!$D$4:$D$15)</f>
        <v>66</v>
      </c>
    </row>
    <row r="600" spans="4:5" x14ac:dyDescent="0.3">
      <c r="D600" s="121">
        <v>598</v>
      </c>
      <c r="E600" s="121">
        <f>LOOKUP($D600,tabellen!$E$4:$E$15,tabellen!$D$4:$D$15)</f>
        <v>66</v>
      </c>
    </row>
    <row r="601" spans="4:5" x14ac:dyDescent="0.3">
      <c r="D601" s="121">
        <v>599</v>
      </c>
      <c r="E601" s="121">
        <f>LOOKUP($D601,tabellen!$E$4:$E$15,tabellen!$D$4:$D$15)</f>
        <v>66</v>
      </c>
    </row>
    <row r="602" spans="4:5" x14ac:dyDescent="0.3">
      <c r="D602" s="121">
        <v>600</v>
      </c>
      <c r="E602" s="121">
        <f>LOOKUP($D602,tabellen!$E$4:$E$15,tabellen!$D$4:$D$15)</f>
        <v>66</v>
      </c>
    </row>
    <row r="603" spans="4:5" x14ac:dyDescent="0.3">
      <c r="D603" s="121">
        <v>601</v>
      </c>
      <c r="E603" s="121">
        <f>LOOKUP($D603,tabellen!$E$4:$E$15,tabellen!$D$4:$D$15)</f>
        <v>66</v>
      </c>
    </row>
    <row r="604" spans="4:5" x14ac:dyDescent="0.3">
      <c r="D604" s="121">
        <v>602</v>
      </c>
      <c r="E604" s="121">
        <f>LOOKUP($D604,tabellen!$E$4:$E$15,tabellen!$D$4:$D$15)</f>
        <v>66</v>
      </c>
    </row>
    <row r="605" spans="4:5" x14ac:dyDescent="0.3">
      <c r="D605" s="121">
        <v>603</v>
      </c>
      <c r="E605" s="121">
        <f>LOOKUP($D605,tabellen!$E$4:$E$15,tabellen!$D$4:$D$15)</f>
        <v>66</v>
      </c>
    </row>
    <row r="606" spans="4:5" x14ac:dyDescent="0.3">
      <c r="D606" s="121">
        <v>604</v>
      </c>
      <c r="E606" s="121">
        <f>LOOKUP($D606,tabellen!$E$4:$E$15,tabellen!$D$4:$D$15)</f>
        <v>66</v>
      </c>
    </row>
    <row r="607" spans="4:5" x14ac:dyDescent="0.3">
      <c r="D607" s="121">
        <v>605</v>
      </c>
      <c r="E607" s="121">
        <f>LOOKUP($D607,tabellen!$E$4:$E$15,tabellen!$D$4:$D$15)</f>
        <v>66</v>
      </c>
    </row>
    <row r="608" spans="4:5" x14ac:dyDescent="0.3">
      <c r="D608" s="121">
        <v>606</v>
      </c>
      <c r="E608" s="121">
        <f>LOOKUP($D608,tabellen!$E$4:$E$15,tabellen!$D$4:$D$15)</f>
        <v>66</v>
      </c>
    </row>
    <row r="609" spans="4:5" x14ac:dyDescent="0.3">
      <c r="D609" s="121">
        <v>607</v>
      </c>
      <c r="E609" s="121">
        <f>LOOKUP($D609,tabellen!$E$4:$E$15,tabellen!$D$4:$D$15)</f>
        <v>66</v>
      </c>
    </row>
    <row r="610" spans="4:5" x14ac:dyDescent="0.3">
      <c r="D610" s="121">
        <v>608</v>
      </c>
      <c r="E610" s="121">
        <f>LOOKUP($D610,tabellen!$E$4:$E$15,tabellen!$D$4:$D$15)</f>
        <v>66</v>
      </c>
    </row>
    <row r="611" spans="4:5" x14ac:dyDescent="0.3">
      <c r="D611" s="121">
        <v>609</v>
      </c>
      <c r="E611" s="121">
        <f>LOOKUP($D611,tabellen!$E$4:$E$15,tabellen!$D$4:$D$15)</f>
        <v>66</v>
      </c>
    </row>
    <row r="612" spans="4:5" x14ac:dyDescent="0.3">
      <c r="D612" s="121">
        <v>610</v>
      </c>
      <c r="E612" s="121">
        <f>LOOKUP($D612,tabellen!$E$4:$E$15,tabellen!$D$4:$D$15)</f>
        <v>66</v>
      </c>
    </row>
    <row r="613" spans="4:5" x14ac:dyDescent="0.3">
      <c r="D613" s="121">
        <v>611</v>
      </c>
      <c r="E613" s="121">
        <f>LOOKUP($D613,tabellen!$E$4:$E$15,tabellen!$D$4:$D$15)</f>
        <v>66</v>
      </c>
    </row>
    <row r="614" spans="4:5" x14ac:dyDescent="0.3">
      <c r="D614" s="121">
        <v>612</v>
      </c>
      <c r="E614" s="121">
        <f>LOOKUP($D614,tabellen!$E$4:$E$15,tabellen!$D$4:$D$15)</f>
        <v>66</v>
      </c>
    </row>
    <row r="615" spans="4:5" x14ac:dyDescent="0.3">
      <c r="D615" s="121">
        <v>613</v>
      </c>
      <c r="E615" s="121">
        <f>LOOKUP($D615,tabellen!$E$4:$E$15,tabellen!$D$4:$D$15)</f>
        <v>66</v>
      </c>
    </row>
    <row r="616" spans="4:5" x14ac:dyDescent="0.3">
      <c r="D616" s="121">
        <v>614</v>
      </c>
      <c r="E616" s="121">
        <f>LOOKUP($D616,tabellen!$E$4:$E$15,tabellen!$D$4:$D$15)</f>
        <v>66</v>
      </c>
    </row>
    <row r="617" spans="4:5" x14ac:dyDescent="0.3">
      <c r="D617" s="121">
        <v>615</v>
      </c>
      <c r="E617" s="121">
        <f>LOOKUP($D617,tabellen!$E$4:$E$15,tabellen!$D$4:$D$15)</f>
        <v>66</v>
      </c>
    </row>
    <row r="618" spans="4:5" x14ac:dyDescent="0.3">
      <c r="D618" s="121">
        <v>616</v>
      </c>
      <c r="E618" s="121">
        <f>LOOKUP($D618,tabellen!$E$4:$E$15,tabellen!$D$4:$D$15)</f>
        <v>66</v>
      </c>
    </row>
    <row r="619" spans="4:5" x14ac:dyDescent="0.3">
      <c r="D619" s="121">
        <v>617</v>
      </c>
      <c r="E619" s="121">
        <f>LOOKUP($D619,tabellen!$E$4:$E$15,tabellen!$D$4:$D$15)</f>
        <v>66</v>
      </c>
    </row>
    <row r="620" spans="4:5" x14ac:dyDescent="0.3">
      <c r="D620" s="121">
        <v>618</v>
      </c>
      <c r="E620" s="121">
        <f>LOOKUP($D620,tabellen!$E$4:$E$15,tabellen!$D$4:$D$15)</f>
        <v>66</v>
      </c>
    </row>
    <row r="621" spans="4:5" x14ac:dyDescent="0.3">
      <c r="D621" s="121">
        <v>619</v>
      </c>
      <c r="E621" s="121">
        <f>LOOKUP($D621,tabellen!$E$4:$E$15,tabellen!$D$4:$D$15)</f>
        <v>66</v>
      </c>
    </row>
    <row r="622" spans="4:5" x14ac:dyDescent="0.3">
      <c r="D622" s="121">
        <v>620</v>
      </c>
      <c r="E622" s="121">
        <f>LOOKUP($D622,tabellen!$E$4:$E$15,tabellen!$D$4:$D$15)</f>
        <v>66</v>
      </c>
    </row>
    <row r="623" spans="4:5" x14ac:dyDescent="0.3">
      <c r="D623" s="121">
        <v>621</v>
      </c>
      <c r="E623" s="121">
        <f>LOOKUP($D623,tabellen!$E$4:$E$15,tabellen!$D$4:$D$15)</f>
        <v>66</v>
      </c>
    </row>
    <row r="624" spans="4:5" x14ac:dyDescent="0.3">
      <c r="D624" s="121">
        <v>622</v>
      </c>
      <c r="E624" s="121">
        <f>LOOKUP($D624,tabellen!$E$4:$E$15,tabellen!$D$4:$D$15)</f>
        <v>66</v>
      </c>
    </row>
    <row r="625" spans="4:5" x14ac:dyDescent="0.3">
      <c r="D625" s="121">
        <v>623</v>
      </c>
      <c r="E625" s="121">
        <f>LOOKUP($D625,tabellen!$E$4:$E$15,tabellen!$D$4:$D$15)</f>
        <v>66</v>
      </c>
    </row>
    <row r="626" spans="4:5" x14ac:dyDescent="0.3">
      <c r="D626" s="121">
        <v>624</v>
      </c>
      <c r="E626" s="121">
        <f>LOOKUP($D626,tabellen!$E$4:$E$15,tabellen!$D$4:$D$15)</f>
        <v>66</v>
      </c>
    </row>
    <row r="627" spans="4:5" x14ac:dyDescent="0.3">
      <c r="D627" s="121">
        <v>625</v>
      </c>
      <c r="E627" s="121">
        <f>LOOKUP($D627,tabellen!$E$4:$E$15,tabellen!$D$4:$D$15)</f>
        <v>66</v>
      </c>
    </row>
    <row r="628" spans="4:5" x14ac:dyDescent="0.3">
      <c r="D628" s="121">
        <v>626</v>
      </c>
      <c r="E628" s="121">
        <f>LOOKUP($D628,tabellen!$E$4:$E$15,tabellen!$D$4:$D$15)</f>
        <v>66</v>
      </c>
    </row>
    <row r="629" spans="4:5" x14ac:dyDescent="0.3">
      <c r="D629" s="121">
        <v>627</v>
      </c>
      <c r="E629" s="121">
        <f>LOOKUP($D629,tabellen!$E$4:$E$15,tabellen!$D$4:$D$15)</f>
        <v>66</v>
      </c>
    </row>
    <row r="630" spans="4:5" x14ac:dyDescent="0.3">
      <c r="D630" s="121">
        <v>628</v>
      </c>
      <c r="E630" s="121">
        <f>LOOKUP($D630,tabellen!$E$4:$E$15,tabellen!$D$4:$D$15)</f>
        <v>66</v>
      </c>
    </row>
    <row r="631" spans="4:5" x14ac:dyDescent="0.3">
      <c r="D631" s="121">
        <v>629</v>
      </c>
      <c r="E631" s="121">
        <f>LOOKUP($D631,tabellen!$E$4:$E$15,tabellen!$D$4:$D$15)</f>
        <v>66</v>
      </c>
    </row>
    <row r="632" spans="4:5" x14ac:dyDescent="0.3">
      <c r="D632" s="121">
        <v>630</v>
      </c>
      <c r="E632" s="121">
        <f>LOOKUP($D632,tabellen!$E$4:$E$15,tabellen!$D$4:$D$15)</f>
        <v>66</v>
      </c>
    </row>
    <row r="633" spans="4:5" x14ac:dyDescent="0.3">
      <c r="D633" s="121">
        <v>631</v>
      </c>
      <c r="E633" s="121">
        <f>LOOKUP($D633,tabellen!$E$4:$E$15,tabellen!$D$4:$D$15)</f>
        <v>66</v>
      </c>
    </row>
    <row r="634" spans="4:5" x14ac:dyDescent="0.3">
      <c r="D634" s="121">
        <v>632</v>
      </c>
      <c r="E634" s="121">
        <f>LOOKUP($D634,tabellen!$E$4:$E$15,tabellen!$D$4:$D$15)</f>
        <v>66</v>
      </c>
    </row>
    <row r="635" spans="4:5" x14ac:dyDescent="0.3">
      <c r="D635" s="121">
        <v>633</v>
      </c>
      <c r="E635" s="121">
        <f>LOOKUP($D635,tabellen!$E$4:$E$15,tabellen!$D$4:$D$15)</f>
        <v>66</v>
      </c>
    </row>
    <row r="636" spans="4:5" x14ac:dyDescent="0.3">
      <c r="D636" s="121">
        <v>634</v>
      </c>
      <c r="E636" s="121">
        <f>LOOKUP($D636,tabellen!$E$4:$E$15,tabellen!$D$4:$D$15)</f>
        <v>66</v>
      </c>
    </row>
    <row r="637" spans="4:5" x14ac:dyDescent="0.3">
      <c r="D637" s="121">
        <v>635</v>
      </c>
      <c r="E637" s="121">
        <f>LOOKUP($D637,tabellen!$E$4:$E$15,tabellen!$D$4:$D$15)</f>
        <v>66</v>
      </c>
    </row>
    <row r="638" spans="4:5" x14ac:dyDescent="0.3">
      <c r="D638" s="121">
        <v>636</v>
      </c>
      <c r="E638" s="121">
        <f>LOOKUP($D638,tabellen!$E$4:$E$15,tabellen!$D$4:$D$15)</f>
        <v>66</v>
      </c>
    </row>
    <row r="639" spans="4:5" x14ac:dyDescent="0.3">
      <c r="D639" s="121">
        <v>637</v>
      </c>
      <c r="E639" s="121">
        <f>LOOKUP($D639,tabellen!$E$4:$E$15,tabellen!$D$4:$D$15)</f>
        <v>66</v>
      </c>
    </row>
    <row r="640" spans="4:5" x14ac:dyDescent="0.3">
      <c r="D640" s="121">
        <v>638</v>
      </c>
      <c r="E640" s="121">
        <f>LOOKUP($D640,tabellen!$E$4:$E$15,tabellen!$D$4:$D$15)</f>
        <v>66</v>
      </c>
    </row>
    <row r="641" spans="4:5" x14ac:dyDescent="0.3">
      <c r="D641" s="121">
        <v>639</v>
      </c>
      <c r="E641" s="121">
        <f>LOOKUP($D641,tabellen!$E$4:$E$15,tabellen!$D$4:$D$15)</f>
        <v>66</v>
      </c>
    </row>
    <row r="642" spans="4:5" x14ac:dyDescent="0.3">
      <c r="D642" s="121">
        <v>640</v>
      </c>
      <c r="E642" s="121">
        <f>LOOKUP($D642,tabellen!$E$4:$E$15,tabellen!$D$4:$D$15)</f>
        <v>66</v>
      </c>
    </row>
    <row r="643" spans="4:5" x14ac:dyDescent="0.3">
      <c r="D643" s="121">
        <v>641</v>
      </c>
      <c r="E643" s="121">
        <f>LOOKUP($D643,tabellen!$E$4:$E$15,tabellen!$D$4:$D$15)</f>
        <v>66</v>
      </c>
    </row>
    <row r="644" spans="4:5" x14ac:dyDescent="0.3">
      <c r="D644" s="121">
        <v>642</v>
      </c>
      <c r="E644" s="121">
        <f>LOOKUP($D644,tabellen!$E$4:$E$15,tabellen!$D$4:$D$15)</f>
        <v>66</v>
      </c>
    </row>
    <row r="645" spans="4:5" x14ac:dyDescent="0.3">
      <c r="D645" s="121">
        <v>643</v>
      </c>
      <c r="E645" s="121">
        <f>LOOKUP($D645,tabellen!$E$4:$E$15,tabellen!$D$4:$D$15)</f>
        <v>66</v>
      </c>
    </row>
    <row r="646" spans="4:5" x14ac:dyDescent="0.3">
      <c r="D646" s="121">
        <v>644</v>
      </c>
      <c r="E646" s="121">
        <f>LOOKUP($D646,tabellen!$E$4:$E$15,tabellen!$D$4:$D$15)</f>
        <v>66</v>
      </c>
    </row>
    <row r="647" spans="4:5" x14ac:dyDescent="0.3">
      <c r="D647" s="121">
        <v>645</v>
      </c>
      <c r="E647" s="121">
        <f>LOOKUP($D647,tabellen!$E$4:$E$15,tabellen!$D$4:$D$15)</f>
        <v>66</v>
      </c>
    </row>
    <row r="648" spans="4:5" x14ac:dyDescent="0.3">
      <c r="D648" s="121">
        <v>646</v>
      </c>
      <c r="E648" s="121">
        <f>LOOKUP($D648,tabellen!$E$4:$E$15,tabellen!$D$4:$D$15)</f>
        <v>66</v>
      </c>
    </row>
    <row r="649" spans="4:5" x14ac:dyDescent="0.3">
      <c r="D649" s="121">
        <v>647</v>
      </c>
      <c r="E649" s="121">
        <f>LOOKUP($D649,tabellen!$E$4:$E$15,tabellen!$D$4:$D$15)</f>
        <v>66</v>
      </c>
    </row>
    <row r="650" spans="4:5" x14ac:dyDescent="0.3">
      <c r="D650" s="121">
        <v>648</v>
      </c>
      <c r="E650" s="121">
        <f>LOOKUP($D650,tabellen!$E$4:$E$15,tabellen!$D$4:$D$15)</f>
        <v>66</v>
      </c>
    </row>
    <row r="651" spans="4:5" x14ac:dyDescent="0.3">
      <c r="D651" s="121">
        <v>649</v>
      </c>
      <c r="E651" s="121">
        <f>LOOKUP($D651,tabellen!$E$4:$E$15,tabellen!$D$4:$D$15)</f>
        <v>66</v>
      </c>
    </row>
    <row r="652" spans="4:5" x14ac:dyDescent="0.3">
      <c r="D652" s="121">
        <v>650</v>
      </c>
      <c r="E652" s="121">
        <f>LOOKUP($D652,tabellen!$E$4:$E$15,tabellen!$D$4:$D$15)</f>
        <v>66</v>
      </c>
    </row>
    <row r="653" spans="4:5" x14ac:dyDescent="0.3">
      <c r="D653" s="121">
        <v>651</v>
      </c>
      <c r="E653" s="121">
        <f>LOOKUP($D653,tabellen!$E$4:$E$15,tabellen!$D$4:$D$15)</f>
        <v>66</v>
      </c>
    </row>
    <row r="654" spans="4:5" x14ac:dyDescent="0.3">
      <c r="D654" s="121">
        <v>652</v>
      </c>
      <c r="E654" s="121">
        <f>LOOKUP($D654,tabellen!$E$4:$E$15,tabellen!$D$4:$D$15)</f>
        <v>66</v>
      </c>
    </row>
    <row r="655" spans="4:5" x14ac:dyDescent="0.3">
      <c r="D655" s="121">
        <v>653</v>
      </c>
      <c r="E655" s="121">
        <f>LOOKUP($D655,tabellen!$E$4:$E$15,tabellen!$D$4:$D$15)</f>
        <v>66</v>
      </c>
    </row>
    <row r="656" spans="4:5" x14ac:dyDescent="0.3">
      <c r="D656" s="121">
        <v>654</v>
      </c>
      <c r="E656" s="121">
        <f>LOOKUP($D656,tabellen!$E$4:$E$15,tabellen!$D$4:$D$15)</f>
        <v>66</v>
      </c>
    </row>
    <row r="657" spans="4:5" x14ac:dyDescent="0.3">
      <c r="D657" s="121">
        <v>655</v>
      </c>
      <c r="E657" s="121">
        <f>LOOKUP($D657,tabellen!$E$4:$E$15,tabellen!$D$4:$D$15)</f>
        <v>66</v>
      </c>
    </row>
    <row r="658" spans="4:5" x14ac:dyDescent="0.3">
      <c r="D658" s="121">
        <v>656</v>
      </c>
      <c r="E658" s="121">
        <f>LOOKUP($D658,tabellen!$E$4:$E$15,tabellen!$D$4:$D$15)</f>
        <v>66</v>
      </c>
    </row>
    <row r="659" spans="4:5" x14ac:dyDescent="0.3">
      <c r="D659" s="121">
        <v>657</v>
      </c>
      <c r="E659" s="121">
        <f>LOOKUP($D659,tabellen!$E$4:$E$15,tabellen!$D$4:$D$15)</f>
        <v>66</v>
      </c>
    </row>
    <row r="660" spans="4:5" x14ac:dyDescent="0.3">
      <c r="D660" s="121">
        <v>658</v>
      </c>
      <c r="E660" s="121">
        <f>LOOKUP($D660,tabellen!$E$4:$E$15,tabellen!$D$4:$D$15)</f>
        <v>66</v>
      </c>
    </row>
    <row r="661" spans="4:5" x14ac:dyDescent="0.3">
      <c r="D661" s="121">
        <v>659</v>
      </c>
      <c r="E661" s="121">
        <f>LOOKUP($D661,tabellen!$E$4:$E$15,tabellen!$D$4:$D$15)</f>
        <v>66</v>
      </c>
    </row>
    <row r="662" spans="4:5" x14ac:dyDescent="0.3">
      <c r="D662" s="121">
        <v>660</v>
      </c>
      <c r="E662" s="121">
        <f>LOOKUP($D662,tabellen!$E$4:$E$15,tabellen!$D$4:$D$15)</f>
        <v>66</v>
      </c>
    </row>
    <row r="663" spans="4:5" x14ac:dyDescent="0.3">
      <c r="D663" s="121">
        <v>661</v>
      </c>
      <c r="E663" s="121">
        <f>LOOKUP($D663,tabellen!$E$4:$E$15,tabellen!$D$4:$D$15)</f>
        <v>66</v>
      </c>
    </row>
    <row r="664" spans="4:5" x14ac:dyDescent="0.3">
      <c r="D664" s="121">
        <v>662</v>
      </c>
      <c r="E664" s="121">
        <f>LOOKUP($D664,tabellen!$E$4:$E$15,tabellen!$D$4:$D$15)</f>
        <v>66</v>
      </c>
    </row>
    <row r="665" spans="4:5" x14ac:dyDescent="0.3">
      <c r="D665" s="121">
        <v>663</v>
      </c>
      <c r="E665" s="121">
        <f>LOOKUP($D665,tabellen!$E$4:$E$15,tabellen!$D$4:$D$15)</f>
        <v>66</v>
      </c>
    </row>
    <row r="666" spans="4:5" x14ac:dyDescent="0.3">
      <c r="D666" s="121">
        <v>664</v>
      </c>
      <c r="E666" s="121">
        <f>LOOKUP($D666,tabellen!$E$4:$E$15,tabellen!$D$4:$D$15)</f>
        <v>66</v>
      </c>
    </row>
    <row r="667" spans="4:5" x14ac:dyDescent="0.3">
      <c r="D667" s="121">
        <v>665</v>
      </c>
      <c r="E667" s="121">
        <f>LOOKUP($D667,tabellen!$E$4:$E$15,tabellen!$D$4:$D$15)</f>
        <v>66</v>
      </c>
    </row>
    <row r="668" spans="4:5" x14ac:dyDescent="0.3">
      <c r="D668" s="121">
        <v>666</v>
      </c>
      <c r="E668" s="121">
        <f>LOOKUP($D668,tabellen!$E$4:$E$15,tabellen!$D$4:$D$15)</f>
        <v>66</v>
      </c>
    </row>
    <row r="669" spans="4:5" x14ac:dyDescent="0.3">
      <c r="D669" s="121">
        <v>667</v>
      </c>
      <c r="E669" s="121">
        <f>LOOKUP($D669,tabellen!$E$4:$E$15,tabellen!$D$4:$D$15)</f>
        <v>66</v>
      </c>
    </row>
    <row r="670" spans="4:5" x14ac:dyDescent="0.3">
      <c r="D670" s="121">
        <v>668</v>
      </c>
      <c r="E670" s="121">
        <f>LOOKUP($D670,tabellen!$E$4:$E$15,tabellen!$D$4:$D$15)</f>
        <v>66</v>
      </c>
    </row>
    <row r="671" spans="4:5" x14ac:dyDescent="0.3">
      <c r="D671" s="121">
        <v>669</v>
      </c>
      <c r="E671" s="121">
        <f>LOOKUP($D671,tabellen!$E$4:$E$15,tabellen!$D$4:$D$15)</f>
        <v>66</v>
      </c>
    </row>
    <row r="672" spans="4:5" x14ac:dyDescent="0.3">
      <c r="D672" s="121">
        <v>670</v>
      </c>
      <c r="E672" s="121">
        <f>LOOKUP($D672,tabellen!$E$4:$E$15,tabellen!$D$4:$D$15)</f>
        <v>66</v>
      </c>
    </row>
    <row r="673" spans="4:5" x14ac:dyDescent="0.3">
      <c r="D673" s="121">
        <v>671</v>
      </c>
      <c r="E673" s="121">
        <f>LOOKUP($D673,tabellen!$E$4:$E$15,tabellen!$D$4:$D$15)</f>
        <v>66</v>
      </c>
    </row>
    <row r="674" spans="4:5" x14ac:dyDescent="0.3">
      <c r="D674" s="121">
        <v>672</v>
      </c>
      <c r="E674" s="121">
        <f>LOOKUP($D674,tabellen!$E$4:$E$15,tabellen!$D$4:$D$15)</f>
        <v>66</v>
      </c>
    </row>
    <row r="675" spans="4:5" x14ac:dyDescent="0.3">
      <c r="D675" s="121">
        <v>673</v>
      </c>
      <c r="E675" s="121">
        <f>LOOKUP($D675,tabellen!$E$4:$E$15,tabellen!$D$4:$D$15)</f>
        <v>66</v>
      </c>
    </row>
    <row r="676" spans="4:5" x14ac:dyDescent="0.3">
      <c r="D676" s="121">
        <v>674</v>
      </c>
      <c r="E676" s="121">
        <f>LOOKUP($D676,tabellen!$E$4:$E$15,tabellen!$D$4:$D$15)</f>
        <v>66</v>
      </c>
    </row>
    <row r="677" spans="4:5" x14ac:dyDescent="0.3">
      <c r="D677" s="121">
        <v>675</v>
      </c>
      <c r="E677" s="121">
        <f>LOOKUP($D677,tabellen!$E$4:$E$15,tabellen!$D$4:$D$15)</f>
        <v>66</v>
      </c>
    </row>
    <row r="678" spans="4:5" x14ac:dyDescent="0.3">
      <c r="D678" s="121">
        <v>676</v>
      </c>
      <c r="E678" s="121">
        <f>LOOKUP($D678,tabellen!$E$4:$E$15,tabellen!$D$4:$D$15)</f>
        <v>66</v>
      </c>
    </row>
    <row r="679" spans="4:5" x14ac:dyDescent="0.3">
      <c r="D679" s="121">
        <v>677</v>
      </c>
      <c r="E679" s="121">
        <f>LOOKUP($D679,tabellen!$E$4:$E$15,tabellen!$D$4:$D$15)</f>
        <v>66</v>
      </c>
    </row>
    <row r="680" spans="4:5" x14ac:dyDescent="0.3">
      <c r="D680" s="121">
        <v>678</v>
      </c>
      <c r="E680" s="121">
        <f>LOOKUP($D680,tabellen!$E$4:$E$15,tabellen!$D$4:$D$15)</f>
        <v>66</v>
      </c>
    </row>
    <row r="681" spans="4:5" x14ac:dyDescent="0.3">
      <c r="D681" s="121">
        <v>679</v>
      </c>
      <c r="E681" s="121">
        <f>LOOKUP($D681,tabellen!$E$4:$E$15,tabellen!$D$4:$D$15)</f>
        <v>66</v>
      </c>
    </row>
    <row r="682" spans="4:5" x14ac:dyDescent="0.3">
      <c r="D682" s="121">
        <v>680</v>
      </c>
      <c r="E682" s="121">
        <f>LOOKUP($D682,tabellen!$E$4:$E$15,tabellen!$D$4:$D$15)</f>
        <v>66</v>
      </c>
    </row>
    <row r="683" spans="4:5" x14ac:dyDescent="0.3">
      <c r="D683" s="121">
        <v>681</v>
      </c>
      <c r="E683" s="121">
        <f>LOOKUP($D683,tabellen!$E$4:$E$15,tabellen!$D$4:$D$15)</f>
        <v>66</v>
      </c>
    </row>
    <row r="684" spans="4:5" x14ac:dyDescent="0.3">
      <c r="D684" s="121">
        <v>682</v>
      </c>
      <c r="E684" s="121">
        <f>LOOKUP($D684,tabellen!$E$4:$E$15,tabellen!$D$4:$D$15)</f>
        <v>66</v>
      </c>
    </row>
    <row r="685" spans="4:5" x14ac:dyDescent="0.3">
      <c r="D685" s="121">
        <v>683</v>
      </c>
      <c r="E685" s="121">
        <f>LOOKUP($D685,tabellen!$E$4:$E$15,tabellen!$D$4:$D$15)</f>
        <v>66</v>
      </c>
    </row>
    <row r="686" spans="4:5" x14ac:dyDescent="0.3">
      <c r="D686" s="121">
        <v>684</v>
      </c>
      <c r="E686" s="121">
        <f>LOOKUP($D686,tabellen!$E$4:$E$15,tabellen!$D$4:$D$15)</f>
        <v>66</v>
      </c>
    </row>
    <row r="687" spans="4:5" x14ac:dyDescent="0.3">
      <c r="D687" s="121">
        <v>685</v>
      </c>
      <c r="E687" s="121">
        <f>LOOKUP($D687,tabellen!$E$4:$E$15,tabellen!$D$4:$D$15)</f>
        <v>66</v>
      </c>
    </row>
    <row r="688" spans="4:5" x14ac:dyDescent="0.3">
      <c r="D688" s="121">
        <v>686</v>
      </c>
      <c r="E688" s="121">
        <f>LOOKUP($D688,tabellen!$E$4:$E$15,tabellen!$D$4:$D$15)</f>
        <v>66</v>
      </c>
    </row>
    <row r="689" spans="4:5" x14ac:dyDescent="0.3">
      <c r="D689" s="121">
        <v>687</v>
      </c>
      <c r="E689" s="121">
        <f>LOOKUP($D689,tabellen!$E$4:$E$15,tabellen!$D$4:$D$15)</f>
        <v>66</v>
      </c>
    </row>
    <row r="690" spans="4:5" x14ac:dyDescent="0.3">
      <c r="D690" s="121">
        <v>688</v>
      </c>
      <c r="E690" s="121">
        <f>LOOKUP($D690,tabellen!$E$4:$E$15,tabellen!$D$4:$D$15)</f>
        <v>66</v>
      </c>
    </row>
    <row r="691" spans="4:5" x14ac:dyDescent="0.3">
      <c r="D691" s="121">
        <v>689</v>
      </c>
      <c r="E691" s="121">
        <f>LOOKUP($D691,tabellen!$E$4:$E$15,tabellen!$D$4:$D$15)</f>
        <v>66</v>
      </c>
    </row>
    <row r="692" spans="4:5" x14ac:dyDescent="0.3">
      <c r="D692" s="121">
        <v>690</v>
      </c>
      <c r="E692" s="121">
        <f>LOOKUP($D692,tabellen!$E$4:$E$15,tabellen!$D$4:$D$15)</f>
        <v>66</v>
      </c>
    </row>
    <row r="693" spans="4:5" x14ac:dyDescent="0.3">
      <c r="D693" s="121">
        <v>691</v>
      </c>
      <c r="E693" s="121">
        <f>LOOKUP($D693,tabellen!$E$4:$E$15,tabellen!$D$4:$D$15)</f>
        <v>66</v>
      </c>
    </row>
    <row r="694" spans="4:5" x14ac:dyDescent="0.3">
      <c r="D694" s="121">
        <v>692</v>
      </c>
      <c r="E694" s="121">
        <f>LOOKUP($D694,tabellen!$E$4:$E$15,tabellen!$D$4:$D$15)</f>
        <v>66</v>
      </c>
    </row>
    <row r="695" spans="4:5" x14ac:dyDescent="0.3">
      <c r="D695" s="121">
        <v>693</v>
      </c>
      <c r="E695" s="121">
        <f>LOOKUP($D695,tabellen!$E$4:$E$15,tabellen!$D$4:$D$15)</f>
        <v>66</v>
      </c>
    </row>
    <row r="696" spans="4:5" x14ac:dyDescent="0.3">
      <c r="D696" s="121">
        <v>694</v>
      </c>
      <c r="E696" s="121">
        <f>LOOKUP($D696,tabellen!$E$4:$E$15,tabellen!$D$4:$D$15)</f>
        <v>66</v>
      </c>
    </row>
    <row r="697" spans="4:5" x14ac:dyDescent="0.3">
      <c r="D697" s="121">
        <v>695</v>
      </c>
      <c r="E697" s="121">
        <f>LOOKUP($D697,tabellen!$E$4:$E$15,tabellen!$D$4:$D$15)</f>
        <v>66</v>
      </c>
    </row>
    <row r="698" spans="4:5" x14ac:dyDescent="0.3">
      <c r="D698" s="121">
        <v>696</v>
      </c>
      <c r="E698" s="121">
        <f>LOOKUP($D698,tabellen!$E$4:$E$15,tabellen!$D$4:$D$15)</f>
        <v>66</v>
      </c>
    </row>
    <row r="699" spans="4:5" x14ac:dyDescent="0.3">
      <c r="D699" s="121">
        <v>697</v>
      </c>
      <c r="E699" s="121">
        <f>LOOKUP($D699,tabellen!$E$4:$E$15,tabellen!$D$4:$D$15)</f>
        <v>66</v>
      </c>
    </row>
    <row r="700" spans="4:5" x14ac:dyDescent="0.3">
      <c r="D700" s="121">
        <v>698</v>
      </c>
      <c r="E700" s="121">
        <f>LOOKUP($D700,tabellen!$E$4:$E$15,tabellen!$D$4:$D$15)</f>
        <v>66</v>
      </c>
    </row>
    <row r="701" spans="4:5" x14ac:dyDescent="0.3">
      <c r="D701" s="121">
        <v>699</v>
      </c>
      <c r="E701" s="121">
        <f>LOOKUP($D701,tabellen!$E$4:$E$15,tabellen!$D$4:$D$15)</f>
        <v>66</v>
      </c>
    </row>
    <row r="702" spans="4:5" x14ac:dyDescent="0.3">
      <c r="D702" s="121">
        <v>700</v>
      </c>
      <c r="E702" s="121">
        <f>LOOKUP($D702,tabellen!$E$4:$E$15,tabellen!$D$4:$D$15)</f>
        <v>66</v>
      </c>
    </row>
    <row r="703" spans="4:5" x14ac:dyDescent="0.3">
      <c r="D703" s="121">
        <v>701</v>
      </c>
      <c r="E703" s="121">
        <f>LOOKUP($D703,tabellen!$E$4:$E$15,tabellen!$D$4:$D$15)</f>
        <v>66</v>
      </c>
    </row>
    <row r="704" spans="4:5" x14ac:dyDescent="0.3">
      <c r="D704" s="121">
        <v>702</v>
      </c>
      <c r="E704" s="121">
        <f>LOOKUP($D704,tabellen!$E$4:$E$15,tabellen!$D$4:$D$15)</f>
        <v>66</v>
      </c>
    </row>
    <row r="705" spans="4:5" x14ac:dyDescent="0.3">
      <c r="D705" s="121">
        <v>703</v>
      </c>
      <c r="E705" s="121">
        <f>LOOKUP($D705,tabellen!$E$4:$E$15,tabellen!$D$4:$D$15)</f>
        <v>66</v>
      </c>
    </row>
    <row r="706" spans="4:5" x14ac:dyDescent="0.3">
      <c r="D706" s="121">
        <v>704</v>
      </c>
      <c r="E706" s="121">
        <f>LOOKUP($D706,tabellen!$E$4:$E$15,tabellen!$D$4:$D$15)</f>
        <v>66</v>
      </c>
    </row>
    <row r="707" spans="4:5" x14ac:dyDescent="0.3">
      <c r="D707" s="121">
        <v>705</v>
      </c>
      <c r="E707" s="121">
        <f>LOOKUP($D707,tabellen!$E$4:$E$15,tabellen!$D$4:$D$15)</f>
        <v>66</v>
      </c>
    </row>
    <row r="708" spans="4:5" x14ac:dyDescent="0.3">
      <c r="D708" s="121">
        <v>706</v>
      </c>
      <c r="E708" s="121">
        <f>LOOKUP($D708,tabellen!$E$4:$E$15,tabellen!$D$4:$D$15)</f>
        <v>66</v>
      </c>
    </row>
    <row r="709" spans="4:5" x14ac:dyDescent="0.3">
      <c r="D709" s="121">
        <v>707</v>
      </c>
      <c r="E709" s="121">
        <f>LOOKUP($D709,tabellen!$E$4:$E$15,tabellen!$D$4:$D$15)</f>
        <v>66</v>
      </c>
    </row>
    <row r="710" spans="4:5" x14ac:dyDescent="0.3">
      <c r="D710" s="121">
        <v>708</v>
      </c>
      <c r="E710" s="121">
        <f>LOOKUP($D710,tabellen!$E$4:$E$15,tabellen!$D$4:$D$15)</f>
        <v>66</v>
      </c>
    </row>
    <row r="711" spans="4:5" x14ac:dyDescent="0.3">
      <c r="D711" s="121">
        <v>709</v>
      </c>
      <c r="E711" s="121">
        <f>LOOKUP($D711,tabellen!$E$4:$E$15,tabellen!$D$4:$D$15)</f>
        <v>66</v>
      </c>
    </row>
    <row r="712" spans="4:5" x14ac:dyDescent="0.3">
      <c r="D712" s="121">
        <v>710</v>
      </c>
      <c r="E712" s="121">
        <f>LOOKUP($D712,tabellen!$E$4:$E$15,tabellen!$D$4:$D$15)</f>
        <v>66</v>
      </c>
    </row>
    <row r="713" spans="4:5" x14ac:dyDescent="0.3">
      <c r="D713" s="121">
        <v>711</v>
      </c>
      <c r="E713" s="121">
        <f>LOOKUP($D713,tabellen!$E$4:$E$15,tabellen!$D$4:$D$15)</f>
        <v>66</v>
      </c>
    </row>
    <row r="714" spans="4:5" x14ac:dyDescent="0.3">
      <c r="D714" s="121">
        <v>712</v>
      </c>
      <c r="E714" s="121">
        <f>LOOKUP($D714,tabellen!$E$4:$E$15,tabellen!$D$4:$D$15)</f>
        <v>66</v>
      </c>
    </row>
    <row r="715" spans="4:5" x14ac:dyDescent="0.3">
      <c r="D715" s="121">
        <v>713</v>
      </c>
      <c r="E715" s="121">
        <f>LOOKUP($D715,tabellen!$E$4:$E$15,tabellen!$D$4:$D$15)</f>
        <v>66</v>
      </c>
    </row>
    <row r="716" spans="4:5" x14ac:dyDescent="0.3">
      <c r="D716" s="121">
        <v>714</v>
      </c>
      <c r="E716" s="121">
        <f>LOOKUP($D716,tabellen!$E$4:$E$15,tabellen!$D$4:$D$15)</f>
        <v>66</v>
      </c>
    </row>
    <row r="717" spans="4:5" x14ac:dyDescent="0.3">
      <c r="D717" s="121">
        <v>715</v>
      </c>
      <c r="E717" s="121">
        <f>LOOKUP($D717,tabellen!$E$4:$E$15,tabellen!$D$4:$D$15)</f>
        <v>66</v>
      </c>
    </row>
    <row r="718" spans="4:5" x14ac:dyDescent="0.3">
      <c r="D718" s="121">
        <v>716</v>
      </c>
      <c r="E718" s="121">
        <f>LOOKUP($D718,tabellen!$E$4:$E$15,tabellen!$D$4:$D$15)</f>
        <v>66</v>
      </c>
    </row>
    <row r="719" spans="4:5" x14ac:dyDescent="0.3">
      <c r="D719" s="121">
        <v>717</v>
      </c>
      <c r="E719" s="121">
        <f>LOOKUP($D719,tabellen!$E$4:$E$15,tabellen!$D$4:$D$15)</f>
        <v>66</v>
      </c>
    </row>
    <row r="720" spans="4:5" x14ac:dyDescent="0.3">
      <c r="D720" s="121">
        <v>718</v>
      </c>
      <c r="E720" s="121">
        <f>LOOKUP($D720,tabellen!$E$4:$E$15,tabellen!$D$4:$D$15)</f>
        <v>66</v>
      </c>
    </row>
    <row r="721" spans="4:5" x14ac:dyDescent="0.3">
      <c r="D721" s="121">
        <v>719</v>
      </c>
      <c r="E721" s="121">
        <f>LOOKUP($D721,tabellen!$E$4:$E$15,tabellen!$D$4:$D$15)</f>
        <v>66</v>
      </c>
    </row>
    <row r="722" spans="4:5" x14ac:dyDescent="0.3">
      <c r="D722" s="121">
        <v>720</v>
      </c>
      <c r="E722" s="121">
        <f>LOOKUP($D722,tabellen!$E$4:$E$15,tabellen!$D$4:$D$15)</f>
        <v>66</v>
      </c>
    </row>
    <row r="723" spans="4:5" x14ac:dyDescent="0.3">
      <c r="D723" s="121">
        <v>721</v>
      </c>
      <c r="E723" s="121">
        <f>LOOKUP($D723,tabellen!$E$4:$E$15,tabellen!$D$4:$D$15)</f>
        <v>66</v>
      </c>
    </row>
    <row r="724" spans="4:5" x14ac:dyDescent="0.3">
      <c r="D724" s="121">
        <v>722</v>
      </c>
      <c r="E724" s="121">
        <f>LOOKUP($D724,tabellen!$E$4:$E$15,tabellen!$D$4:$D$15)</f>
        <v>66</v>
      </c>
    </row>
    <row r="725" spans="4:5" x14ac:dyDescent="0.3">
      <c r="D725" s="121">
        <v>723</v>
      </c>
      <c r="E725" s="121">
        <f>LOOKUP($D725,tabellen!$E$4:$E$15,tabellen!$D$4:$D$15)</f>
        <v>66</v>
      </c>
    </row>
    <row r="726" spans="4:5" x14ac:dyDescent="0.3">
      <c r="D726" s="121">
        <v>724</v>
      </c>
      <c r="E726" s="121">
        <f>LOOKUP($D726,tabellen!$E$4:$E$15,tabellen!$D$4:$D$15)</f>
        <v>66</v>
      </c>
    </row>
    <row r="727" spans="4:5" x14ac:dyDescent="0.3">
      <c r="D727" s="121">
        <v>725</v>
      </c>
      <c r="E727" s="121">
        <f>LOOKUP($D727,tabellen!$E$4:$E$15,tabellen!$D$4:$D$15)</f>
        <v>66</v>
      </c>
    </row>
    <row r="728" spans="4:5" x14ac:dyDescent="0.3">
      <c r="D728" s="121">
        <v>726</v>
      </c>
      <c r="E728" s="121">
        <f>LOOKUP($D728,tabellen!$E$4:$E$15,tabellen!$D$4:$D$15)</f>
        <v>66</v>
      </c>
    </row>
    <row r="729" spans="4:5" x14ac:dyDescent="0.3">
      <c r="D729" s="121">
        <v>727</v>
      </c>
      <c r="E729" s="121">
        <f>LOOKUP($D729,tabellen!$E$4:$E$15,tabellen!$D$4:$D$15)</f>
        <v>66</v>
      </c>
    </row>
    <row r="730" spans="4:5" x14ac:dyDescent="0.3">
      <c r="D730" s="121">
        <v>728</v>
      </c>
      <c r="E730" s="121">
        <f>LOOKUP($D730,tabellen!$E$4:$E$15,tabellen!$D$4:$D$15)</f>
        <v>66</v>
      </c>
    </row>
    <row r="731" spans="4:5" x14ac:dyDescent="0.3">
      <c r="D731" s="121">
        <v>729</v>
      </c>
      <c r="E731" s="121">
        <f>LOOKUP($D731,tabellen!$E$4:$E$15,tabellen!$D$4:$D$15)</f>
        <v>66</v>
      </c>
    </row>
    <row r="732" spans="4:5" x14ac:dyDescent="0.3">
      <c r="D732" s="121">
        <v>730</v>
      </c>
      <c r="E732" s="121">
        <f>LOOKUP($D732,tabellen!$E$4:$E$15,tabellen!$D$4:$D$15)</f>
        <v>66</v>
      </c>
    </row>
    <row r="733" spans="4:5" x14ac:dyDescent="0.3">
      <c r="D733" s="121">
        <v>731</v>
      </c>
      <c r="E733" s="121">
        <f>LOOKUP($D733,tabellen!$E$4:$E$15,tabellen!$D$4:$D$15)</f>
        <v>66</v>
      </c>
    </row>
    <row r="734" spans="4:5" x14ac:dyDescent="0.3">
      <c r="D734" s="121">
        <v>732</v>
      </c>
      <c r="E734" s="121">
        <f>LOOKUP($D734,tabellen!$E$4:$E$15,tabellen!$D$4:$D$15)</f>
        <v>66</v>
      </c>
    </row>
    <row r="735" spans="4:5" x14ac:dyDescent="0.3">
      <c r="D735" s="121">
        <v>733</v>
      </c>
      <c r="E735" s="121">
        <f>LOOKUP($D735,tabellen!$E$4:$E$15,tabellen!$D$4:$D$15)</f>
        <v>66</v>
      </c>
    </row>
    <row r="736" spans="4:5" x14ac:dyDescent="0.3">
      <c r="D736" s="121">
        <v>734</v>
      </c>
      <c r="E736" s="121">
        <f>LOOKUP($D736,tabellen!$E$4:$E$15,tabellen!$D$4:$D$15)</f>
        <v>66</v>
      </c>
    </row>
    <row r="737" spans="4:5" x14ac:dyDescent="0.3">
      <c r="D737" s="121">
        <v>735</v>
      </c>
      <c r="E737" s="121">
        <f>LOOKUP($D737,tabellen!$E$4:$E$15,tabellen!$D$4:$D$15)</f>
        <v>66</v>
      </c>
    </row>
    <row r="738" spans="4:5" x14ac:dyDescent="0.3">
      <c r="D738" s="121">
        <v>736</v>
      </c>
      <c r="E738" s="121">
        <f>LOOKUP($D738,tabellen!$E$4:$E$15,tabellen!$D$4:$D$15)</f>
        <v>66</v>
      </c>
    </row>
    <row r="739" spans="4:5" x14ac:dyDescent="0.3">
      <c r="D739" s="121">
        <v>737</v>
      </c>
      <c r="E739" s="121">
        <f>LOOKUP($D739,tabellen!$E$4:$E$15,tabellen!$D$4:$D$15)</f>
        <v>66</v>
      </c>
    </row>
    <row r="740" spans="4:5" x14ac:dyDescent="0.3">
      <c r="D740" s="121">
        <v>738</v>
      </c>
      <c r="E740" s="121">
        <f>LOOKUP($D740,tabellen!$E$4:$E$15,tabellen!$D$4:$D$15)</f>
        <v>66</v>
      </c>
    </row>
    <row r="741" spans="4:5" x14ac:dyDescent="0.3">
      <c r="D741" s="121">
        <v>739</v>
      </c>
      <c r="E741" s="121">
        <f>LOOKUP($D741,tabellen!$E$4:$E$15,tabellen!$D$4:$D$15)</f>
        <v>66</v>
      </c>
    </row>
    <row r="742" spans="4:5" x14ac:dyDescent="0.3">
      <c r="D742" s="121">
        <v>740</v>
      </c>
      <c r="E742" s="121">
        <f>LOOKUP($D742,tabellen!$E$4:$E$15,tabellen!$D$4:$D$15)</f>
        <v>66</v>
      </c>
    </row>
    <row r="743" spans="4:5" x14ac:dyDescent="0.3">
      <c r="D743" s="121">
        <v>741</v>
      </c>
      <c r="E743" s="121">
        <f>LOOKUP($D743,tabellen!$E$4:$E$15,tabellen!$D$4:$D$15)</f>
        <v>66</v>
      </c>
    </row>
    <row r="744" spans="4:5" x14ac:dyDescent="0.3">
      <c r="D744" s="121">
        <v>742</v>
      </c>
      <c r="E744" s="121">
        <f>LOOKUP($D744,tabellen!$E$4:$E$15,tabellen!$D$4:$D$15)</f>
        <v>66</v>
      </c>
    </row>
    <row r="745" spans="4:5" x14ac:dyDescent="0.3">
      <c r="D745" s="121">
        <v>743</v>
      </c>
      <c r="E745" s="121">
        <f>LOOKUP($D745,tabellen!$E$4:$E$15,tabellen!$D$4:$D$15)</f>
        <v>66</v>
      </c>
    </row>
    <row r="746" spans="4:5" x14ac:dyDescent="0.3">
      <c r="D746" s="121">
        <v>744</v>
      </c>
      <c r="E746" s="121">
        <f>LOOKUP($D746,tabellen!$E$4:$E$15,tabellen!$D$4:$D$15)</f>
        <v>66</v>
      </c>
    </row>
    <row r="747" spans="4:5" x14ac:dyDescent="0.3">
      <c r="D747" s="121">
        <v>745</v>
      </c>
      <c r="E747" s="121">
        <f>LOOKUP($D747,tabellen!$E$4:$E$15,tabellen!$D$4:$D$15)</f>
        <v>66</v>
      </c>
    </row>
    <row r="748" spans="4:5" x14ac:dyDescent="0.3">
      <c r="D748" s="121">
        <v>746</v>
      </c>
      <c r="E748" s="121">
        <f>LOOKUP($D748,tabellen!$E$4:$E$15,tabellen!$D$4:$D$15)</f>
        <v>66</v>
      </c>
    </row>
    <row r="749" spans="4:5" x14ac:dyDescent="0.3">
      <c r="D749" s="121">
        <v>747</v>
      </c>
      <c r="E749" s="121">
        <f>LOOKUP($D749,tabellen!$E$4:$E$15,tabellen!$D$4:$D$15)</f>
        <v>66</v>
      </c>
    </row>
    <row r="750" spans="4:5" x14ac:dyDescent="0.3">
      <c r="D750" s="121">
        <v>748</v>
      </c>
      <c r="E750" s="121">
        <f>LOOKUP($D750,tabellen!$E$4:$E$15,tabellen!$D$4:$D$15)</f>
        <v>66</v>
      </c>
    </row>
    <row r="751" spans="4:5" x14ac:dyDescent="0.3">
      <c r="D751" s="121">
        <v>749</v>
      </c>
      <c r="E751" s="121">
        <f>LOOKUP($D751,tabellen!$E$4:$E$15,tabellen!$D$4:$D$15)</f>
        <v>66</v>
      </c>
    </row>
    <row r="752" spans="4:5" x14ac:dyDescent="0.3">
      <c r="D752" s="121">
        <v>750</v>
      </c>
      <c r="E752" s="121">
        <f>LOOKUP($D752,tabellen!$E$4:$E$15,tabellen!$D$4:$D$15)</f>
        <v>66</v>
      </c>
    </row>
    <row r="753" spans="4:5" x14ac:dyDescent="0.3">
      <c r="D753" s="121">
        <v>751</v>
      </c>
      <c r="E753" s="121">
        <f>LOOKUP($D753,tabellen!$E$4:$E$15,tabellen!$D$4:$D$15)</f>
        <v>66</v>
      </c>
    </row>
    <row r="754" spans="4:5" x14ac:dyDescent="0.3">
      <c r="D754" s="121">
        <v>752</v>
      </c>
      <c r="E754" s="121">
        <f>LOOKUP($D754,tabellen!$E$4:$E$15,tabellen!$D$4:$D$15)</f>
        <v>66</v>
      </c>
    </row>
    <row r="755" spans="4:5" x14ac:dyDescent="0.3">
      <c r="D755" s="121">
        <v>753</v>
      </c>
      <c r="E755" s="121">
        <f>LOOKUP($D755,tabellen!$E$4:$E$15,tabellen!$D$4:$D$15)</f>
        <v>66</v>
      </c>
    </row>
    <row r="756" spans="4:5" x14ac:dyDescent="0.3">
      <c r="D756" s="121">
        <v>754</v>
      </c>
      <c r="E756" s="121">
        <f>LOOKUP($D756,tabellen!$E$4:$E$15,tabellen!$D$4:$D$15)</f>
        <v>66</v>
      </c>
    </row>
    <row r="757" spans="4:5" x14ac:dyDescent="0.3">
      <c r="D757" s="121">
        <v>755</v>
      </c>
      <c r="E757" s="121">
        <f>LOOKUP($D757,tabellen!$E$4:$E$15,tabellen!$D$4:$D$15)</f>
        <v>66</v>
      </c>
    </row>
    <row r="758" spans="4:5" x14ac:dyDescent="0.3">
      <c r="D758" s="121">
        <v>756</v>
      </c>
      <c r="E758" s="121">
        <f>LOOKUP($D758,tabellen!$E$4:$E$15,tabellen!$D$4:$D$15)</f>
        <v>66</v>
      </c>
    </row>
    <row r="759" spans="4:5" x14ac:dyDescent="0.3">
      <c r="D759" s="121">
        <v>757</v>
      </c>
      <c r="E759" s="121">
        <f>LOOKUP($D759,tabellen!$E$4:$E$15,tabellen!$D$4:$D$15)</f>
        <v>66</v>
      </c>
    </row>
    <row r="760" spans="4:5" x14ac:dyDescent="0.3">
      <c r="D760" s="121">
        <v>758</v>
      </c>
      <c r="E760" s="121">
        <f>LOOKUP($D760,tabellen!$E$4:$E$15,tabellen!$D$4:$D$15)</f>
        <v>66</v>
      </c>
    </row>
    <row r="761" spans="4:5" x14ac:dyDescent="0.3">
      <c r="D761" s="121">
        <v>759</v>
      </c>
      <c r="E761" s="121">
        <f>LOOKUP($D761,tabellen!$E$4:$E$15,tabellen!$D$4:$D$15)</f>
        <v>66</v>
      </c>
    </row>
    <row r="762" spans="4:5" x14ac:dyDescent="0.3">
      <c r="D762" s="121">
        <v>760</v>
      </c>
      <c r="E762" s="121">
        <f>LOOKUP($D762,tabellen!$E$4:$E$15,tabellen!$D$4:$D$15)</f>
        <v>66</v>
      </c>
    </row>
    <row r="763" spans="4:5" x14ac:dyDescent="0.3">
      <c r="D763" s="121">
        <v>761</v>
      </c>
      <c r="E763" s="121">
        <f>LOOKUP($D763,tabellen!$E$4:$E$15,tabellen!$D$4:$D$15)</f>
        <v>66</v>
      </c>
    </row>
    <row r="764" spans="4:5" x14ac:dyDescent="0.3">
      <c r="D764" s="121">
        <v>762</v>
      </c>
      <c r="E764" s="121">
        <f>LOOKUP($D764,tabellen!$E$4:$E$15,tabellen!$D$4:$D$15)</f>
        <v>66</v>
      </c>
    </row>
    <row r="765" spans="4:5" x14ac:dyDescent="0.3">
      <c r="D765" s="121">
        <v>763</v>
      </c>
      <c r="E765" s="121">
        <f>LOOKUP($D765,tabellen!$E$4:$E$15,tabellen!$D$4:$D$15)</f>
        <v>66</v>
      </c>
    </row>
    <row r="766" spans="4:5" x14ac:dyDescent="0.3">
      <c r="D766" s="121">
        <v>764</v>
      </c>
      <c r="E766" s="121">
        <f>LOOKUP($D766,tabellen!$E$4:$E$15,tabellen!$D$4:$D$15)</f>
        <v>66</v>
      </c>
    </row>
    <row r="767" spans="4:5" x14ac:dyDescent="0.3">
      <c r="D767" s="121">
        <v>765</v>
      </c>
      <c r="E767" s="121">
        <f>LOOKUP($D767,tabellen!$E$4:$E$15,tabellen!$D$4:$D$15)</f>
        <v>66</v>
      </c>
    </row>
    <row r="768" spans="4:5" x14ac:dyDescent="0.3">
      <c r="D768" s="121">
        <v>766</v>
      </c>
      <c r="E768" s="121">
        <f>LOOKUP($D768,tabellen!$E$4:$E$15,tabellen!$D$4:$D$15)</f>
        <v>66</v>
      </c>
    </row>
    <row r="769" spans="4:5" x14ac:dyDescent="0.3">
      <c r="D769" s="121">
        <v>767</v>
      </c>
      <c r="E769" s="121">
        <f>LOOKUP($D769,tabellen!$E$4:$E$15,tabellen!$D$4:$D$15)</f>
        <v>66</v>
      </c>
    </row>
    <row r="770" spans="4:5" x14ac:dyDescent="0.3">
      <c r="D770" s="121">
        <v>768</v>
      </c>
      <c r="E770" s="121">
        <f>LOOKUP($D770,tabellen!$E$4:$E$15,tabellen!$D$4:$D$15)</f>
        <v>66</v>
      </c>
    </row>
    <row r="771" spans="4:5" x14ac:dyDescent="0.3">
      <c r="D771" s="121">
        <v>769</v>
      </c>
      <c r="E771" s="121">
        <f>LOOKUP($D771,tabellen!$E$4:$E$15,tabellen!$D$4:$D$15)</f>
        <v>66</v>
      </c>
    </row>
    <row r="772" spans="4:5" x14ac:dyDescent="0.3">
      <c r="D772" s="121">
        <v>770</v>
      </c>
      <c r="E772" s="121">
        <f>LOOKUP($D772,tabellen!$E$4:$E$15,tabellen!$D$4:$D$15)</f>
        <v>66</v>
      </c>
    </row>
    <row r="773" spans="4:5" x14ac:dyDescent="0.3">
      <c r="D773" s="121">
        <v>771</v>
      </c>
      <c r="E773" s="121">
        <f>LOOKUP($D773,tabellen!$E$4:$E$15,tabellen!$D$4:$D$15)</f>
        <v>66</v>
      </c>
    </row>
    <row r="774" spans="4:5" x14ac:dyDescent="0.3">
      <c r="D774" s="121">
        <v>772</v>
      </c>
      <c r="E774" s="121">
        <f>LOOKUP($D774,tabellen!$E$4:$E$15,tabellen!$D$4:$D$15)</f>
        <v>66</v>
      </c>
    </row>
    <row r="775" spans="4:5" x14ac:dyDescent="0.3">
      <c r="D775" s="121">
        <v>773</v>
      </c>
      <c r="E775" s="121">
        <f>LOOKUP($D775,tabellen!$E$4:$E$15,tabellen!$D$4:$D$15)</f>
        <v>66</v>
      </c>
    </row>
    <row r="776" spans="4:5" x14ac:dyDescent="0.3">
      <c r="D776" s="121">
        <v>774</v>
      </c>
      <c r="E776" s="121">
        <f>LOOKUP($D776,tabellen!$E$4:$E$15,tabellen!$D$4:$D$15)</f>
        <v>66</v>
      </c>
    </row>
    <row r="777" spans="4:5" x14ac:dyDescent="0.3">
      <c r="D777" s="121">
        <v>775</v>
      </c>
      <c r="E777" s="121">
        <f>LOOKUP($D777,tabellen!$E$4:$E$15,tabellen!$D$4:$D$15)</f>
        <v>66</v>
      </c>
    </row>
    <row r="778" spans="4:5" x14ac:dyDescent="0.3">
      <c r="D778" s="121">
        <v>776</v>
      </c>
      <c r="E778" s="121">
        <f>LOOKUP($D778,tabellen!$E$4:$E$15,tabellen!$D$4:$D$15)</f>
        <v>66</v>
      </c>
    </row>
    <row r="779" spans="4:5" x14ac:dyDescent="0.3">
      <c r="D779" s="121">
        <v>777</v>
      </c>
      <c r="E779" s="121">
        <f>LOOKUP($D779,tabellen!$E$4:$E$15,tabellen!$D$4:$D$15)</f>
        <v>66</v>
      </c>
    </row>
    <row r="780" spans="4:5" x14ac:dyDescent="0.3">
      <c r="D780" s="121">
        <v>778</v>
      </c>
      <c r="E780" s="121">
        <f>LOOKUP($D780,tabellen!$E$4:$E$15,tabellen!$D$4:$D$15)</f>
        <v>66</v>
      </c>
    </row>
    <row r="781" spans="4:5" x14ac:dyDescent="0.3">
      <c r="D781" s="121">
        <v>779</v>
      </c>
      <c r="E781" s="121">
        <f>LOOKUP($D781,tabellen!$E$4:$E$15,tabellen!$D$4:$D$15)</f>
        <v>66</v>
      </c>
    </row>
    <row r="782" spans="4:5" x14ac:dyDescent="0.3">
      <c r="D782" s="121">
        <v>780</v>
      </c>
      <c r="E782" s="121">
        <f>LOOKUP($D782,tabellen!$E$4:$E$15,tabellen!$D$4:$D$15)</f>
        <v>66</v>
      </c>
    </row>
    <row r="783" spans="4:5" x14ac:dyDescent="0.3">
      <c r="D783" s="121">
        <v>781</v>
      </c>
      <c r="E783" s="121">
        <f>LOOKUP($D783,tabellen!$E$4:$E$15,tabellen!$D$4:$D$15)</f>
        <v>66</v>
      </c>
    </row>
    <row r="784" spans="4:5" x14ac:dyDescent="0.3">
      <c r="D784" s="121">
        <v>782</v>
      </c>
      <c r="E784" s="121">
        <f>LOOKUP($D784,tabellen!$E$4:$E$15,tabellen!$D$4:$D$15)</f>
        <v>66</v>
      </c>
    </row>
    <row r="785" spans="4:5" x14ac:dyDescent="0.3">
      <c r="D785" s="121">
        <v>783</v>
      </c>
      <c r="E785" s="121">
        <f>LOOKUP($D785,tabellen!$E$4:$E$15,tabellen!$D$4:$D$15)</f>
        <v>66</v>
      </c>
    </row>
    <row r="786" spans="4:5" x14ac:dyDescent="0.3">
      <c r="D786" s="121">
        <v>784</v>
      </c>
      <c r="E786" s="121">
        <f>LOOKUP($D786,tabellen!$E$4:$E$15,tabellen!$D$4:$D$15)</f>
        <v>66</v>
      </c>
    </row>
    <row r="787" spans="4:5" x14ac:dyDescent="0.3">
      <c r="D787" s="121">
        <v>785</v>
      </c>
      <c r="E787" s="121">
        <f>LOOKUP($D787,tabellen!$E$4:$E$15,tabellen!$D$4:$D$15)</f>
        <v>66</v>
      </c>
    </row>
    <row r="788" spans="4:5" x14ac:dyDescent="0.3">
      <c r="D788" s="121">
        <v>786</v>
      </c>
      <c r="E788" s="121">
        <f>LOOKUP($D788,tabellen!$E$4:$E$15,tabellen!$D$4:$D$15)</f>
        <v>66</v>
      </c>
    </row>
    <row r="789" spans="4:5" x14ac:dyDescent="0.3">
      <c r="D789" s="121">
        <v>787</v>
      </c>
      <c r="E789" s="121">
        <f>LOOKUP($D789,tabellen!$E$4:$E$15,tabellen!$D$4:$D$15)</f>
        <v>66</v>
      </c>
    </row>
    <row r="790" spans="4:5" x14ac:dyDescent="0.3">
      <c r="D790" s="121">
        <v>788</v>
      </c>
      <c r="E790" s="121">
        <f>LOOKUP($D790,tabellen!$E$4:$E$15,tabellen!$D$4:$D$15)</f>
        <v>66</v>
      </c>
    </row>
    <row r="791" spans="4:5" x14ac:dyDescent="0.3">
      <c r="D791" s="121">
        <v>789</v>
      </c>
      <c r="E791" s="121">
        <f>LOOKUP($D791,tabellen!$E$4:$E$15,tabellen!$D$4:$D$15)</f>
        <v>66</v>
      </c>
    </row>
    <row r="792" spans="4:5" x14ac:dyDescent="0.3">
      <c r="D792" s="121">
        <v>790</v>
      </c>
      <c r="E792" s="121">
        <f>LOOKUP($D792,tabellen!$E$4:$E$15,tabellen!$D$4:$D$15)</f>
        <v>66</v>
      </c>
    </row>
    <row r="793" spans="4:5" x14ac:dyDescent="0.3">
      <c r="D793" s="121">
        <v>791</v>
      </c>
      <c r="E793" s="121">
        <f>LOOKUP($D793,tabellen!$E$4:$E$15,tabellen!$D$4:$D$15)</f>
        <v>66</v>
      </c>
    </row>
    <row r="794" spans="4:5" x14ac:dyDescent="0.3">
      <c r="D794" s="121">
        <v>792</v>
      </c>
      <c r="E794" s="121">
        <f>LOOKUP($D794,tabellen!$E$4:$E$15,tabellen!$D$4:$D$15)</f>
        <v>66</v>
      </c>
    </row>
    <row r="795" spans="4:5" x14ac:dyDescent="0.3">
      <c r="D795" s="121">
        <v>793</v>
      </c>
      <c r="E795" s="121">
        <f>LOOKUP($D795,tabellen!$E$4:$E$15,tabellen!$D$4:$D$15)</f>
        <v>66</v>
      </c>
    </row>
    <row r="796" spans="4:5" x14ac:dyDescent="0.3">
      <c r="D796" s="121">
        <v>794</v>
      </c>
      <c r="E796" s="121">
        <f>LOOKUP($D796,tabellen!$E$4:$E$15,tabellen!$D$4:$D$15)</f>
        <v>66</v>
      </c>
    </row>
    <row r="797" spans="4:5" x14ac:dyDescent="0.3">
      <c r="D797" s="121">
        <v>795</v>
      </c>
      <c r="E797" s="121">
        <f>LOOKUP($D797,tabellen!$E$4:$E$15,tabellen!$D$4:$D$15)</f>
        <v>66</v>
      </c>
    </row>
    <row r="798" spans="4:5" x14ac:dyDescent="0.3">
      <c r="D798" s="121">
        <v>796</v>
      </c>
      <c r="E798" s="121">
        <f>LOOKUP($D798,tabellen!$E$4:$E$15,tabellen!$D$4:$D$15)</f>
        <v>66</v>
      </c>
    </row>
    <row r="799" spans="4:5" x14ac:dyDescent="0.3">
      <c r="D799" s="121">
        <v>797</v>
      </c>
      <c r="E799" s="121">
        <f>LOOKUP($D799,tabellen!$E$4:$E$15,tabellen!$D$4:$D$15)</f>
        <v>66</v>
      </c>
    </row>
    <row r="800" spans="4:5" x14ac:dyDescent="0.3">
      <c r="D800" s="121">
        <v>798</v>
      </c>
      <c r="E800" s="121">
        <f>LOOKUP($D800,tabellen!$E$4:$E$15,tabellen!$D$4:$D$15)</f>
        <v>66</v>
      </c>
    </row>
    <row r="801" spans="4:5" x14ac:dyDescent="0.3">
      <c r="D801" s="121">
        <v>799</v>
      </c>
      <c r="E801" s="121">
        <f>LOOKUP($D801,tabellen!$E$4:$E$15,tabellen!$D$4:$D$15)</f>
        <v>66</v>
      </c>
    </row>
    <row r="802" spans="4:5" x14ac:dyDescent="0.3">
      <c r="D802" s="121">
        <v>800</v>
      </c>
      <c r="E802" s="121">
        <f>LOOKUP($D802,tabellen!$E$4:$E$15,tabellen!$D$4:$D$15)</f>
        <v>66</v>
      </c>
    </row>
  </sheetData>
  <sheetProtection sheet="1" objects="1" scenarios="1"/>
  <phoneticPr fontId="0" type="noConversion"/>
  <pageMargins left="0.74791666666666667" right="0.74791666666666667" top="0.98402777777777772" bottom="0.98402777777777772" header="0.51180555555555551" footer="0.51180555555555551"/>
  <pageSetup paperSize="9" scale="20" firstPageNumber="0" orientation="portrait" horizontalDpi="300" verticalDpi="300" r:id="rId1"/>
  <headerFooter alignWithMargins="0">
    <oddHeader>&amp;L&amp;"Comic Sans MS,Standaard"&amp;8versie 6, februari 2014&amp;R&amp;"Comic Sans MS,Standaard"&amp;8svu/th/whp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28" workbookViewId="0">
      <selection activeCell="J50" sqref="J50"/>
    </sheetView>
  </sheetViews>
  <sheetFormatPr defaultRowHeight="12.75" x14ac:dyDescent="0.2"/>
  <sheetData>
    <row r="1" spans="1:9" ht="16.5" x14ac:dyDescent="0.2">
      <c r="A1" s="654" t="s">
        <v>951</v>
      </c>
      <c r="B1" s="655"/>
      <c r="C1" s="655"/>
      <c r="D1" s="655"/>
      <c r="E1" s="655"/>
      <c r="F1" s="655"/>
      <c r="G1" s="655"/>
      <c r="H1" s="655"/>
      <c r="I1" s="656"/>
    </row>
    <row r="2" spans="1:9" ht="12.75" customHeight="1" x14ac:dyDescent="0.2">
      <c r="A2" s="644" t="s">
        <v>954</v>
      </c>
      <c r="B2" s="671"/>
      <c r="C2" s="671"/>
      <c r="D2" s="671"/>
      <c r="E2" s="671"/>
      <c r="F2" s="671"/>
      <c r="G2" s="671"/>
      <c r="H2" s="671"/>
      <c r="I2" s="672"/>
    </row>
    <row r="3" spans="1:9" ht="12.75" customHeight="1" x14ac:dyDescent="0.2">
      <c r="A3" s="644"/>
      <c r="B3" s="671"/>
      <c r="C3" s="671"/>
      <c r="D3" s="671"/>
      <c r="E3" s="671"/>
      <c r="F3" s="671"/>
      <c r="G3" s="671"/>
      <c r="H3" s="671"/>
      <c r="I3" s="672"/>
    </row>
    <row r="4" spans="1:9" x14ac:dyDescent="0.2">
      <c r="A4" s="644"/>
      <c r="B4" s="671"/>
      <c r="C4" s="671"/>
      <c r="D4" s="671"/>
      <c r="E4" s="671"/>
      <c r="F4" s="671"/>
      <c r="G4" s="671"/>
      <c r="H4" s="671"/>
      <c r="I4" s="672"/>
    </row>
    <row r="5" spans="1:9" ht="12.75" customHeight="1" x14ac:dyDescent="0.2">
      <c r="A5" s="644"/>
      <c r="B5" s="671"/>
      <c r="C5" s="671"/>
      <c r="D5" s="671"/>
      <c r="E5" s="671"/>
      <c r="F5" s="671"/>
      <c r="G5" s="671"/>
      <c r="H5" s="671"/>
      <c r="I5" s="672"/>
    </row>
    <row r="6" spans="1:9" ht="12.75" customHeight="1" x14ac:dyDescent="0.2">
      <c r="A6" s="673" t="s">
        <v>425</v>
      </c>
      <c r="B6" s="674"/>
      <c r="C6" s="674"/>
      <c r="D6" s="674"/>
      <c r="E6" s="674"/>
      <c r="F6" s="674"/>
      <c r="G6" s="674"/>
      <c r="H6" s="674"/>
      <c r="I6" s="675"/>
    </row>
    <row r="7" spans="1:9" ht="12.75" customHeight="1" x14ac:dyDescent="0.2">
      <c r="A7" s="673"/>
      <c r="B7" s="674"/>
      <c r="C7" s="674"/>
      <c r="D7" s="674"/>
      <c r="E7" s="674"/>
      <c r="F7" s="674"/>
      <c r="G7" s="674"/>
      <c r="H7" s="674"/>
      <c r="I7" s="675"/>
    </row>
    <row r="8" spans="1:9" ht="12.75" customHeight="1" x14ac:dyDescent="0.2">
      <c r="A8" s="673"/>
      <c r="B8" s="674"/>
      <c r="C8" s="674"/>
      <c r="D8" s="674"/>
      <c r="E8" s="674"/>
      <c r="F8" s="674"/>
      <c r="G8" s="674"/>
      <c r="H8" s="674"/>
      <c r="I8" s="675"/>
    </row>
    <row r="9" spans="1:9" ht="12.75" customHeight="1" x14ac:dyDescent="0.2">
      <c r="A9" s="676" t="s">
        <v>436</v>
      </c>
      <c r="B9" s="677"/>
      <c r="C9" s="677"/>
      <c r="D9" s="677"/>
      <c r="E9" s="677"/>
      <c r="F9" s="677"/>
      <c r="G9" s="677"/>
      <c r="H9" s="677"/>
      <c r="I9" s="678"/>
    </row>
    <row r="10" spans="1:9" ht="12.75" customHeight="1" x14ac:dyDescent="0.2">
      <c r="A10" s="676"/>
      <c r="B10" s="677"/>
      <c r="C10" s="677"/>
      <c r="D10" s="677"/>
      <c r="E10" s="677"/>
      <c r="F10" s="677"/>
      <c r="G10" s="677"/>
      <c r="H10" s="677"/>
      <c r="I10" s="678"/>
    </row>
    <row r="11" spans="1:9" ht="12.75" customHeight="1" x14ac:dyDescent="0.2">
      <c r="A11" s="679" t="s">
        <v>437</v>
      </c>
      <c r="B11" s="680"/>
      <c r="C11" s="680"/>
      <c r="D11" s="680"/>
      <c r="E11" s="680"/>
      <c r="F11" s="680"/>
      <c r="G11" s="680"/>
      <c r="H11" s="680"/>
      <c r="I11" s="681"/>
    </row>
    <row r="12" spans="1:9" x14ac:dyDescent="0.2">
      <c r="A12" s="679"/>
      <c r="B12" s="680"/>
      <c r="C12" s="680"/>
      <c r="D12" s="680"/>
      <c r="E12" s="680"/>
      <c r="F12" s="680"/>
      <c r="G12" s="680"/>
      <c r="H12" s="680"/>
      <c r="I12" s="681"/>
    </row>
    <row r="13" spans="1:9" ht="12.75" customHeight="1" x14ac:dyDescent="0.2">
      <c r="A13" s="654" t="s">
        <v>956</v>
      </c>
      <c r="B13" s="655"/>
      <c r="C13" s="655"/>
      <c r="D13" s="655"/>
      <c r="E13" s="655"/>
      <c r="F13" s="655"/>
      <c r="G13" s="655"/>
      <c r="H13" s="655"/>
      <c r="I13" s="656"/>
    </row>
    <row r="14" spans="1:9" ht="12.75" customHeight="1" x14ac:dyDescent="0.2">
      <c r="A14" s="660" t="s">
        <v>952</v>
      </c>
      <c r="B14" s="661"/>
      <c r="C14" s="661"/>
      <c r="D14" s="661"/>
      <c r="E14" s="661"/>
      <c r="F14" s="661"/>
      <c r="G14" s="661"/>
      <c r="H14" s="661"/>
      <c r="I14" s="662"/>
    </row>
    <row r="15" spans="1:9" ht="12.75" customHeight="1" x14ac:dyDescent="0.2">
      <c r="A15" s="660"/>
      <c r="B15" s="661"/>
      <c r="C15" s="661"/>
      <c r="D15" s="661"/>
      <c r="E15" s="661"/>
      <c r="F15" s="661"/>
      <c r="G15" s="661"/>
      <c r="H15" s="661"/>
      <c r="I15" s="662"/>
    </row>
    <row r="16" spans="1:9" ht="12.75" customHeight="1" x14ac:dyDescent="0.2">
      <c r="A16" s="660"/>
      <c r="B16" s="661"/>
      <c r="C16" s="661"/>
      <c r="D16" s="661"/>
      <c r="E16" s="661"/>
      <c r="F16" s="661"/>
      <c r="G16" s="661"/>
      <c r="H16" s="661"/>
      <c r="I16" s="662"/>
    </row>
    <row r="17" spans="1:9" ht="12.75" customHeight="1" x14ac:dyDescent="0.2">
      <c r="A17" s="644" t="s">
        <v>953</v>
      </c>
      <c r="B17" s="671"/>
      <c r="C17" s="671"/>
      <c r="D17" s="671"/>
      <c r="E17" s="671"/>
      <c r="F17" s="671"/>
      <c r="G17" s="671"/>
      <c r="H17" s="671"/>
      <c r="I17" s="672"/>
    </row>
    <row r="18" spans="1:9" ht="12.75" customHeight="1" x14ac:dyDescent="0.2">
      <c r="A18" s="644"/>
      <c r="B18" s="671"/>
      <c r="C18" s="671"/>
      <c r="D18" s="671"/>
      <c r="E18" s="671"/>
      <c r="F18" s="671"/>
      <c r="G18" s="671"/>
      <c r="H18" s="671"/>
      <c r="I18" s="672"/>
    </row>
    <row r="19" spans="1:9" ht="12.75" customHeight="1" x14ac:dyDescent="0.2">
      <c r="A19" s="644"/>
      <c r="B19" s="671"/>
      <c r="C19" s="671"/>
      <c r="D19" s="671"/>
      <c r="E19" s="671"/>
      <c r="F19" s="671"/>
      <c r="G19" s="671"/>
      <c r="H19" s="671"/>
      <c r="I19" s="672"/>
    </row>
    <row r="20" spans="1:9" x14ac:dyDescent="0.2">
      <c r="A20" s="644"/>
      <c r="B20" s="671"/>
      <c r="C20" s="671"/>
      <c r="D20" s="671"/>
      <c r="E20" s="671"/>
      <c r="F20" s="671"/>
      <c r="G20" s="671"/>
      <c r="H20" s="671"/>
      <c r="I20" s="672"/>
    </row>
    <row r="21" spans="1:9" ht="12.75" customHeight="1" x14ac:dyDescent="0.2">
      <c r="A21" s="644" t="s">
        <v>992</v>
      </c>
      <c r="B21" s="645"/>
      <c r="C21" s="645"/>
      <c r="D21" s="645"/>
      <c r="E21" s="645"/>
      <c r="F21" s="645"/>
      <c r="G21" s="645"/>
      <c r="H21" s="645"/>
      <c r="I21" s="646"/>
    </row>
    <row r="22" spans="1:9" ht="12.75" customHeight="1" x14ac:dyDescent="0.2">
      <c r="A22" s="647"/>
      <c r="B22" s="645"/>
      <c r="C22" s="645"/>
      <c r="D22" s="645"/>
      <c r="E22" s="645"/>
      <c r="F22" s="645"/>
      <c r="G22" s="645"/>
      <c r="H22" s="645"/>
      <c r="I22" s="646"/>
    </row>
    <row r="23" spans="1:9" ht="12.75" customHeight="1" x14ac:dyDescent="0.2">
      <c r="A23" s="647"/>
      <c r="B23" s="645"/>
      <c r="C23" s="645"/>
      <c r="D23" s="645"/>
      <c r="E23" s="645"/>
      <c r="F23" s="645"/>
      <c r="G23" s="645"/>
      <c r="H23" s="645"/>
      <c r="I23" s="646"/>
    </row>
    <row r="24" spans="1:9" ht="12.75" customHeight="1" x14ac:dyDescent="0.2">
      <c r="A24" s="647"/>
      <c r="B24" s="645"/>
      <c r="C24" s="645"/>
      <c r="D24" s="645"/>
      <c r="E24" s="645"/>
      <c r="F24" s="645"/>
      <c r="G24" s="645"/>
      <c r="H24" s="645"/>
      <c r="I24" s="646"/>
    </row>
    <row r="25" spans="1:9" ht="12.75" customHeight="1" x14ac:dyDescent="0.2">
      <c r="A25" s="647"/>
      <c r="B25" s="645"/>
      <c r="C25" s="645"/>
      <c r="D25" s="645"/>
      <c r="E25" s="645"/>
      <c r="F25" s="645"/>
      <c r="G25" s="645"/>
      <c r="H25" s="645"/>
      <c r="I25" s="646"/>
    </row>
    <row r="26" spans="1:9" ht="12.75" customHeight="1" x14ac:dyDescent="0.2">
      <c r="A26" s="648"/>
      <c r="B26" s="649"/>
      <c r="C26" s="649"/>
      <c r="D26" s="649"/>
      <c r="E26" s="649"/>
      <c r="F26" s="649"/>
      <c r="G26" s="649"/>
      <c r="H26" s="649"/>
      <c r="I26" s="650"/>
    </row>
    <row r="27" spans="1:9" ht="16.5" x14ac:dyDescent="0.2">
      <c r="A27" s="654" t="s">
        <v>958</v>
      </c>
      <c r="B27" s="655"/>
      <c r="C27" s="655"/>
      <c r="D27" s="655"/>
      <c r="E27" s="655"/>
      <c r="F27" s="655"/>
      <c r="G27" s="655"/>
      <c r="H27" s="655"/>
      <c r="I27" s="656"/>
    </row>
    <row r="28" spans="1:9" x14ac:dyDescent="0.2">
      <c r="A28" s="657" t="s">
        <v>955</v>
      </c>
      <c r="B28" s="658"/>
      <c r="C28" s="658"/>
      <c r="D28" s="658"/>
      <c r="E28" s="658"/>
      <c r="F28" s="658"/>
      <c r="G28" s="658"/>
      <c r="H28" s="658"/>
      <c r="I28" s="659"/>
    </row>
    <row r="29" spans="1:9" x14ac:dyDescent="0.2">
      <c r="A29" s="660"/>
      <c r="B29" s="661"/>
      <c r="C29" s="661"/>
      <c r="D29" s="661"/>
      <c r="E29" s="661"/>
      <c r="F29" s="661"/>
      <c r="G29" s="661"/>
      <c r="H29" s="661"/>
      <c r="I29" s="662"/>
    </row>
    <row r="30" spans="1:9" x14ac:dyDescent="0.2">
      <c r="A30" s="663"/>
      <c r="B30" s="664"/>
      <c r="C30" s="664"/>
      <c r="D30" s="664"/>
      <c r="E30" s="664"/>
      <c r="F30" s="664"/>
      <c r="G30" s="664"/>
      <c r="H30" s="664"/>
      <c r="I30" s="665"/>
    </row>
    <row r="31" spans="1:9" x14ac:dyDescent="0.2">
      <c r="A31" s="657" t="s">
        <v>957</v>
      </c>
      <c r="B31" s="666"/>
      <c r="C31" s="666"/>
      <c r="D31" s="666"/>
      <c r="E31" s="666"/>
      <c r="F31" s="666"/>
      <c r="G31" s="666"/>
      <c r="H31" s="666"/>
      <c r="I31" s="667"/>
    </row>
    <row r="32" spans="1:9" x14ac:dyDescent="0.2">
      <c r="A32" s="668"/>
      <c r="B32" s="669"/>
      <c r="C32" s="669"/>
      <c r="D32" s="669"/>
      <c r="E32" s="669"/>
      <c r="F32" s="669"/>
      <c r="G32" s="669"/>
      <c r="H32" s="669"/>
      <c r="I32" s="670"/>
    </row>
    <row r="33" spans="1:9" ht="18.75" customHeight="1" x14ac:dyDescent="0.2">
      <c r="A33" s="637" t="s">
        <v>1030</v>
      </c>
      <c r="B33" s="638"/>
      <c r="C33" s="638"/>
      <c r="D33" s="638"/>
      <c r="E33" s="638"/>
      <c r="F33" s="638"/>
      <c r="G33" s="638"/>
      <c r="H33" s="638"/>
      <c r="I33" s="639"/>
    </row>
    <row r="34" spans="1:9" ht="45" customHeight="1" x14ac:dyDescent="0.2">
      <c r="A34" s="651" t="s">
        <v>1031</v>
      </c>
      <c r="B34" s="652"/>
      <c r="C34" s="652"/>
      <c r="D34" s="652"/>
      <c r="E34" s="652"/>
      <c r="F34" s="652"/>
      <c r="G34" s="652"/>
      <c r="H34" s="652"/>
      <c r="I34" s="653"/>
    </row>
    <row r="36" spans="1:9" ht="16.5" x14ac:dyDescent="0.2">
      <c r="A36" s="637" t="s">
        <v>1043</v>
      </c>
      <c r="B36" s="638"/>
      <c r="C36" s="638"/>
      <c r="D36" s="638"/>
      <c r="E36" s="638"/>
      <c r="F36" s="638"/>
      <c r="G36" s="638"/>
      <c r="H36" s="638"/>
      <c r="I36" s="639"/>
    </row>
    <row r="37" spans="1:9" x14ac:dyDescent="0.2">
      <c r="A37" s="640" t="s">
        <v>1044</v>
      </c>
      <c r="B37" s="641"/>
      <c r="C37" s="641"/>
      <c r="D37" s="641"/>
      <c r="E37" s="641"/>
      <c r="F37" s="641"/>
      <c r="G37" s="641"/>
      <c r="H37" s="641"/>
      <c r="I37" s="641"/>
    </row>
    <row r="38" spans="1:9" x14ac:dyDescent="0.2">
      <c r="A38" s="642"/>
      <c r="B38" s="642"/>
      <c r="C38" s="642"/>
      <c r="D38" s="642"/>
      <c r="E38" s="642"/>
      <c r="F38" s="642"/>
      <c r="G38" s="642"/>
      <c r="H38" s="642"/>
      <c r="I38" s="642"/>
    </row>
    <row r="39" spans="1:9" x14ac:dyDescent="0.2">
      <c r="A39" s="642"/>
      <c r="B39" s="642"/>
      <c r="C39" s="642"/>
      <c r="D39" s="642"/>
      <c r="E39" s="642"/>
      <c r="F39" s="642"/>
      <c r="G39" s="642"/>
      <c r="H39" s="642"/>
      <c r="I39" s="642"/>
    </row>
    <row r="40" spans="1:9" ht="41.25" customHeight="1" x14ac:dyDescent="0.2">
      <c r="A40" s="643"/>
      <c r="B40" s="643"/>
      <c r="C40" s="643"/>
      <c r="D40" s="643"/>
      <c r="E40" s="643"/>
      <c r="F40" s="643"/>
      <c r="G40" s="643"/>
      <c r="H40" s="643"/>
      <c r="I40" s="643"/>
    </row>
    <row r="42" spans="1:9" ht="16.5" x14ac:dyDescent="0.2">
      <c r="A42" s="637" t="s">
        <v>1071</v>
      </c>
      <c r="B42" s="638"/>
      <c r="C42" s="638"/>
      <c r="D42" s="638"/>
      <c r="E42" s="638"/>
      <c r="F42" s="638"/>
      <c r="G42" s="638"/>
      <c r="H42" s="638"/>
      <c r="I42" s="639"/>
    </row>
    <row r="43" spans="1:9" x14ac:dyDescent="0.2">
      <c r="A43" s="640" t="s">
        <v>1072</v>
      </c>
      <c r="B43" s="641"/>
      <c r="C43" s="641"/>
      <c r="D43" s="641"/>
      <c r="E43" s="641"/>
      <c r="F43" s="641"/>
      <c r="G43" s="641"/>
      <c r="H43" s="641"/>
      <c r="I43" s="641"/>
    </row>
    <row r="44" spans="1:9" x14ac:dyDescent="0.2">
      <c r="A44" s="642"/>
      <c r="B44" s="642"/>
      <c r="C44" s="642"/>
      <c r="D44" s="642"/>
      <c r="E44" s="642"/>
      <c r="F44" s="642"/>
      <c r="G44" s="642"/>
      <c r="H44" s="642"/>
      <c r="I44" s="642"/>
    </row>
    <row r="45" spans="1:9" x14ac:dyDescent="0.2">
      <c r="A45" s="642"/>
      <c r="B45" s="642"/>
      <c r="C45" s="642"/>
      <c r="D45" s="642"/>
      <c r="E45" s="642"/>
      <c r="F45" s="642"/>
      <c r="G45" s="642"/>
      <c r="H45" s="642"/>
      <c r="I45" s="642"/>
    </row>
    <row r="46" spans="1:9" x14ac:dyDescent="0.2">
      <c r="A46" s="643"/>
      <c r="B46" s="643"/>
      <c r="C46" s="643"/>
      <c r="D46" s="643"/>
      <c r="E46" s="643"/>
      <c r="F46" s="643"/>
      <c r="G46" s="643"/>
      <c r="H46" s="643"/>
      <c r="I46" s="643"/>
    </row>
  </sheetData>
  <sheetProtection sheet="1"/>
  <mergeCells count="18">
    <mergeCell ref="A1:I1"/>
    <mergeCell ref="A13:I13"/>
    <mergeCell ref="A14:I16"/>
    <mergeCell ref="A17:I20"/>
    <mergeCell ref="A2:I5"/>
    <mergeCell ref="A6:I8"/>
    <mergeCell ref="A9:I10"/>
    <mergeCell ref="A11:I12"/>
    <mergeCell ref="A42:I42"/>
    <mergeCell ref="A43:I46"/>
    <mergeCell ref="A36:I36"/>
    <mergeCell ref="A37:I40"/>
    <mergeCell ref="A21:I26"/>
    <mergeCell ref="A33:I33"/>
    <mergeCell ref="A34:I34"/>
    <mergeCell ref="A27:I27"/>
    <mergeCell ref="A28:I30"/>
    <mergeCell ref="A31:I32"/>
  </mergeCells>
  <phoneticPr fontId="0" type="noConversion"/>
  <pageMargins left="0.75" right="0.75" top="1" bottom="1" header="0.5" footer="0.5"/>
  <pageSetup paperSize="9" orientation="portrait" horizontalDpi="4294967293" r:id="rId1"/>
  <headerFooter alignWithMargins="0">
    <oddHeader>&amp;L&amp;"Comic Sans MS,Standaard"&amp;8versie 6, maart 2014&amp;R&amp;"Comic Sans MS,Standaard"&amp;8svu/th/whp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16" workbookViewId="0">
      <selection activeCell="B45" sqref="B45"/>
    </sheetView>
  </sheetViews>
  <sheetFormatPr defaultRowHeight="15" x14ac:dyDescent="0.3"/>
  <cols>
    <col min="1" max="1" width="5.140625" style="121" customWidth="1"/>
    <col min="2" max="2" width="77.5703125" style="269" customWidth="1"/>
    <col min="3" max="3" width="12.28515625" style="268" customWidth="1"/>
  </cols>
  <sheetData>
    <row r="1" spans="1:3" ht="24.75" x14ac:dyDescent="0.2">
      <c r="A1" s="573" t="str">
        <f>'berekening Wort'!C2</f>
        <v>Saison</v>
      </c>
      <c r="B1" s="574"/>
      <c r="C1" s="575"/>
    </row>
    <row r="2" spans="1:3" ht="19.5" x14ac:dyDescent="0.3">
      <c r="A2" s="278">
        <v>1</v>
      </c>
      <c r="B2" s="571" t="s">
        <v>1024</v>
      </c>
      <c r="C2" s="572"/>
    </row>
    <row r="3" spans="1:3" ht="35.450000000000003" customHeight="1" x14ac:dyDescent="0.2">
      <c r="A3" s="279"/>
      <c r="B3" s="277" t="s">
        <v>997</v>
      </c>
      <c r="C3" s="280"/>
    </row>
    <row r="4" spans="1:3" x14ac:dyDescent="0.3">
      <c r="A4" s="278">
        <v>2</v>
      </c>
      <c r="B4" s="271" t="s">
        <v>998</v>
      </c>
      <c r="C4" s="282"/>
    </row>
    <row r="5" spans="1:3" x14ac:dyDescent="0.3">
      <c r="A5" s="278">
        <v>3</v>
      </c>
      <c r="B5" s="271" t="s">
        <v>996</v>
      </c>
      <c r="C5" s="282"/>
    </row>
    <row r="6" spans="1:3" x14ac:dyDescent="0.3">
      <c r="A6" s="278">
        <v>4</v>
      </c>
      <c r="B6" s="271" t="s">
        <v>999</v>
      </c>
      <c r="C6" s="282"/>
    </row>
    <row r="7" spans="1:3" x14ac:dyDescent="0.3">
      <c r="A7" s="278">
        <v>5</v>
      </c>
      <c r="B7" s="271" t="s">
        <v>1000</v>
      </c>
      <c r="C7" s="283">
        <f>'berekening Wort'!J3</f>
        <v>16.595200000000002</v>
      </c>
    </row>
    <row r="8" spans="1:3" x14ac:dyDescent="0.3">
      <c r="A8" s="278">
        <v>6</v>
      </c>
      <c r="B8" s="271" t="s">
        <v>1001</v>
      </c>
      <c r="C8" s="275">
        <f>'berekening Wort'!D52</f>
        <v>38</v>
      </c>
    </row>
    <row r="9" spans="1:3" x14ac:dyDescent="0.3">
      <c r="A9" s="278">
        <v>7</v>
      </c>
      <c r="B9" s="271" t="s">
        <v>1038</v>
      </c>
      <c r="C9" s="282"/>
    </row>
    <row r="10" spans="1:3" x14ac:dyDescent="0.3">
      <c r="A10" s="278">
        <v>8</v>
      </c>
      <c r="B10" s="271" t="s">
        <v>1039</v>
      </c>
      <c r="C10" s="284">
        <f>'berekening Wort'!D53</f>
        <v>0</v>
      </c>
    </row>
    <row r="11" spans="1:3" x14ac:dyDescent="0.3">
      <c r="A11" s="278" t="s">
        <v>1003</v>
      </c>
      <c r="B11" s="271" t="s">
        <v>1002</v>
      </c>
      <c r="C11" s="275">
        <f>'berekening Wort'!E52</f>
        <v>50</v>
      </c>
    </row>
    <row r="12" spans="1:3" x14ac:dyDescent="0.3">
      <c r="A12" s="278" t="s">
        <v>1004</v>
      </c>
      <c r="B12" s="271" t="s">
        <v>1040</v>
      </c>
      <c r="C12" s="284">
        <f>'berekening Wort'!E53</f>
        <v>10</v>
      </c>
    </row>
    <row r="13" spans="1:3" x14ac:dyDescent="0.3">
      <c r="A13" s="278">
        <v>9</v>
      </c>
      <c r="B13" s="271" t="s">
        <v>1002</v>
      </c>
      <c r="C13" s="275">
        <f>'berekening Wort'!F52</f>
        <v>63</v>
      </c>
    </row>
    <row r="14" spans="1:3" x14ac:dyDescent="0.3">
      <c r="A14" s="278">
        <v>10</v>
      </c>
      <c r="B14" s="271" t="s">
        <v>1015</v>
      </c>
      <c r="C14" s="284">
        <f>'berekening Wort'!F53</f>
        <v>45</v>
      </c>
    </row>
    <row r="15" spans="1:3" x14ac:dyDescent="0.3">
      <c r="A15" s="278">
        <v>11</v>
      </c>
      <c r="B15" s="271" t="s">
        <v>1041</v>
      </c>
      <c r="C15" s="282"/>
    </row>
    <row r="16" spans="1:3" x14ac:dyDescent="0.3">
      <c r="A16" s="278">
        <v>12</v>
      </c>
      <c r="B16" s="271" t="s">
        <v>1002</v>
      </c>
      <c r="C16" s="275">
        <f>'berekening Wort'!G52</f>
        <v>72</v>
      </c>
    </row>
    <row r="17" spans="1:3" x14ac:dyDescent="0.3">
      <c r="A17" s="278">
        <v>13</v>
      </c>
      <c r="B17" s="271" t="s">
        <v>1015</v>
      </c>
      <c r="C17" s="284">
        <f>'berekening Wort'!G53</f>
        <v>35</v>
      </c>
    </row>
    <row r="18" spans="1:3" ht="28.5" x14ac:dyDescent="0.3">
      <c r="A18" s="278">
        <v>14</v>
      </c>
      <c r="B18" s="271" t="s">
        <v>1005</v>
      </c>
      <c r="C18" s="282"/>
    </row>
    <row r="19" spans="1:3" x14ac:dyDescent="0.3">
      <c r="A19" s="278">
        <v>15</v>
      </c>
      <c r="B19" s="271" t="s">
        <v>1002</v>
      </c>
      <c r="C19" s="275">
        <f>'berekening Wort'!H52</f>
        <v>78</v>
      </c>
    </row>
    <row r="20" spans="1:3" x14ac:dyDescent="0.3">
      <c r="A20" s="278">
        <v>16</v>
      </c>
      <c r="B20" s="272" t="s">
        <v>1006</v>
      </c>
      <c r="C20" s="282"/>
    </row>
    <row r="21" spans="1:3" x14ac:dyDescent="0.3">
      <c r="A21" s="278">
        <v>17</v>
      </c>
      <c r="B21" s="271" t="s">
        <v>1015</v>
      </c>
      <c r="C21" s="284">
        <f>'berekening Wort'!H53</f>
        <v>1</v>
      </c>
    </row>
    <row r="22" spans="1:3" x14ac:dyDescent="0.3">
      <c r="A22" s="278">
        <v>19</v>
      </c>
      <c r="B22" s="272" t="s">
        <v>1007</v>
      </c>
      <c r="C22" s="284">
        <f>'berekening Wort'!D45</f>
        <v>60</v>
      </c>
    </row>
    <row r="23" spans="1:3" x14ac:dyDescent="0.3">
      <c r="A23" s="278">
        <v>20</v>
      </c>
      <c r="B23" s="272" t="s">
        <v>1042</v>
      </c>
      <c r="C23" s="284">
        <f>'berekening Wort'!E45</f>
        <v>0</v>
      </c>
    </row>
    <row r="24" spans="1:3" x14ac:dyDescent="0.3">
      <c r="A24" s="278">
        <v>21</v>
      </c>
      <c r="B24" s="272" t="s">
        <v>1008</v>
      </c>
      <c r="C24" s="282"/>
    </row>
    <row r="25" spans="1:3" x14ac:dyDescent="0.3">
      <c r="A25" s="278">
        <v>22</v>
      </c>
      <c r="B25" s="272" t="s">
        <v>1009</v>
      </c>
      <c r="C25" s="282"/>
    </row>
    <row r="26" spans="1:3" x14ac:dyDescent="0.3">
      <c r="A26" s="278">
        <v>23</v>
      </c>
      <c r="B26" s="272" t="str">
        <f>CONCATENATE('berekening Wort'!A27," gram ",'berekening Wort'!C27," mee koken gedurende")</f>
        <v>25,6 gram Hallertau hersbrucker (D) mee koken gedurende</v>
      </c>
      <c r="C26" s="284">
        <f>'berekening Wort'!E27</f>
        <v>70</v>
      </c>
    </row>
    <row r="27" spans="1:3" x14ac:dyDescent="0.3">
      <c r="A27" s="278">
        <v>24</v>
      </c>
      <c r="B27" s="272" t="str">
        <f>CONCATENATE('berekening Wort'!A28," gram ",'berekening Wort'!C28," mee koken gedurende")</f>
        <v>18,52 gram East kent goldings (UK) mee koken gedurende</v>
      </c>
      <c r="C27" s="284">
        <f>'berekening Wort'!E28</f>
        <v>70</v>
      </c>
    </row>
    <row r="28" spans="1:3" x14ac:dyDescent="0.3">
      <c r="A28" s="278">
        <v>25</v>
      </c>
      <c r="B28" s="272" t="str">
        <f>CONCATENATE('berekening Wort'!A29," gram ",'berekening Wort'!C29," mee koken gedurende")</f>
        <v>16 gram Styrian goldings (SL) mee koken gedurende</v>
      </c>
      <c r="C28" s="284">
        <f>'berekening Wort'!E29</f>
        <v>70</v>
      </c>
    </row>
    <row r="29" spans="1:3" x14ac:dyDescent="0.3">
      <c r="A29" s="278">
        <v>26</v>
      </c>
      <c r="B29" s="272" t="str">
        <f>CONCATENATE('berekening Wort'!A30," gram ",'berekening Wort'!C30," mee koken gedurende")</f>
        <v>15,2 gram Saaz (CZ) mee koken gedurende</v>
      </c>
      <c r="C29" s="284">
        <f>'berekening Wort'!E30</f>
        <v>2</v>
      </c>
    </row>
    <row r="30" spans="1:3" x14ac:dyDescent="0.3">
      <c r="A30" s="278">
        <v>27</v>
      </c>
      <c r="B30" s="272" t="str">
        <f>CONCATENATE('berekening Wort'!A31," gram ",'berekening Wort'!C31," mee koken gedurende")</f>
        <v>0 gram - mee koken gedurende</v>
      </c>
      <c r="C30" s="284">
        <f>'berekening Wort'!E31</f>
        <v>0</v>
      </c>
    </row>
    <row r="31" spans="1:3" x14ac:dyDescent="0.3">
      <c r="A31" s="278">
        <v>28</v>
      </c>
      <c r="B31" s="272" t="s">
        <v>1066</v>
      </c>
      <c r="C31" s="284">
        <f>'berekening Wort'!E32</f>
        <v>0</v>
      </c>
    </row>
    <row r="32" spans="1:3" x14ac:dyDescent="0.3">
      <c r="A32" s="278">
        <v>29</v>
      </c>
      <c r="B32" s="272" t="str">
        <f>CONCATENATE('berekening Wort'!A41," gram ",'berekening Wort'!C41," mee koken gedurende")</f>
        <v xml:space="preserve"> gram - mee koken gedurende</v>
      </c>
      <c r="C32" s="284">
        <f>'berekening Wort'!E33</f>
        <v>0</v>
      </c>
    </row>
    <row r="33" spans="1:3" x14ac:dyDescent="0.3">
      <c r="A33" s="278">
        <v>30</v>
      </c>
      <c r="B33" s="272" t="str">
        <f>CONCATENATE('berekening Wort'!A42," gram ",'berekening Wort'!C42," mee koken gedurende")</f>
        <v xml:space="preserve"> gram - mee koken gedurende</v>
      </c>
      <c r="C33" s="284">
        <f>'berekening Wort'!E34</f>
        <v>0</v>
      </c>
    </row>
    <row r="34" spans="1:3" ht="32.25" customHeight="1" x14ac:dyDescent="0.3">
      <c r="A34" s="278">
        <v>31</v>
      </c>
      <c r="B34" s="273"/>
      <c r="C34" s="282"/>
    </row>
    <row r="35" spans="1:3" x14ac:dyDescent="0.3">
      <c r="A35" s="278">
        <v>32</v>
      </c>
      <c r="B35" s="272" t="s">
        <v>1061</v>
      </c>
      <c r="C35" s="282"/>
    </row>
    <row r="36" spans="1:3" ht="20.25" customHeight="1" x14ac:dyDescent="0.3">
      <c r="A36" s="278">
        <v>33</v>
      </c>
      <c r="B36" s="272" t="s">
        <v>1011</v>
      </c>
      <c r="C36" s="328">
        <v>10</v>
      </c>
    </row>
    <row r="37" spans="1:3" x14ac:dyDescent="0.3">
      <c r="A37" s="278">
        <v>34</v>
      </c>
      <c r="B37" s="272" t="s">
        <v>1010</v>
      </c>
      <c r="C37" s="282"/>
    </row>
    <row r="38" spans="1:3" x14ac:dyDescent="0.3">
      <c r="A38" s="278">
        <v>35</v>
      </c>
      <c r="B38" s="272" t="s">
        <v>1014</v>
      </c>
      <c r="C38" s="284">
        <f>'berekening Wort'!K53</f>
        <v>40</v>
      </c>
    </row>
    <row r="39" spans="1:3" ht="30" x14ac:dyDescent="0.3">
      <c r="A39" s="278">
        <v>36</v>
      </c>
      <c r="B39" s="272" t="s">
        <v>1062</v>
      </c>
      <c r="C39" s="282"/>
    </row>
    <row r="40" spans="1:3" x14ac:dyDescent="0.3">
      <c r="A40" s="278">
        <v>37</v>
      </c>
      <c r="B40" s="272" t="s">
        <v>1063</v>
      </c>
      <c r="C40" s="328">
        <v>10</v>
      </c>
    </row>
    <row r="41" spans="1:3" x14ac:dyDescent="0.3">
      <c r="A41" s="278">
        <v>38</v>
      </c>
      <c r="B41" s="272" t="s">
        <v>1028</v>
      </c>
      <c r="C41" s="329"/>
    </row>
    <row r="42" spans="1:3" x14ac:dyDescent="0.3">
      <c r="A42" s="278">
        <v>39</v>
      </c>
      <c r="B42" s="272" t="s">
        <v>1013</v>
      </c>
      <c r="C42" s="282"/>
    </row>
    <row r="43" spans="1:3" x14ac:dyDescent="0.3">
      <c r="A43" s="278">
        <v>40</v>
      </c>
      <c r="B43" s="272" t="s">
        <v>1012</v>
      </c>
      <c r="C43" s="285" t="str">
        <f>'berekening Wort'!D47</f>
        <v>18 - 22C</v>
      </c>
    </row>
    <row r="44" spans="1:3" x14ac:dyDescent="0.3">
      <c r="A44" s="278">
        <v>41</v>
      </c>
      <c r="B44" s="272" t="s">
        <v>1064</v>
      </c>
      <c r="C44" s="282"/>
    </row>
    <row r="45" spans="1:3" x14ac:dyDescent="0.3">
      <c r="A45" s="278">
        <v>42</v>
      </c>
      <c r="B45" s="272" t="s">
        <v>1070</v>
      </c>
      <c r="C45" s="285" t="str">
        <f>'berekening Wort'!D47</f>
        <v>18 - 22C</v>
      </c>
    </row>
    <row r="46" spans="1:3" x14ac:dyDescent="0.3">
      <c r="A46" s="278">
        <v>43</v>
      </c>
      <c r="B46" s="272" t="s">
        <v>1016</v>
      </c>
      <c r="C46" s="275">
        <f>'berekening Wort'!D50</f>
        <v>15</v>
      </c>
    </row>
    <row r="47" spans="1:3" x14ac:dyDescent="0.3">
      <c r="A47" s="278">
        <v>44</v>
      </c>
      <c r="B47" s="272" t="s">
        <v>1025</v>
      </c>
      <c r="C47" s="282"/>
    </row>
    <row r="48" spans="1:3" x14ac:dyDescent="0.3">
      <c r="A48" s="278">
        <v>45</v>
      </c>
      <c r="B48" s="272" t="s">
        <v>1027</v>
      </c>
      <c r="C48" s="330"/>
    </row>
    <row r="49" spans="1:3" ht="30" x14ac:dyDescent="0.3">
      <c r="A49" s="278">
        <v>46</v>
      </c>
      <c r="B49" s="272" t="s">
        <v>1065</v>
      </c>
      <c r="C49" s="282"/>
    </row>
    <row r="50" spans="1:3" x14ac:dyDescent="0.3">
      <c r="A50" s="278">
        <v>47</v>
      </c>
      <c r="B50" s="272" t="s">
        <v>1017</v>
      </c>
      <c r="C50" s="282"/>
    </row>
    <row r="51" spans="1:3" x14ac:dyDescent="0.3">
      <c r="A51" s="278">
        <v>48</v>
      </c>
      <c r="B51" s="272" t="s">
        <v>1018</v>
      </c>
      <c r="C51" s="282"/>
    </row>
    <row r="52" spans="1:3" x14ac:dyDescent="0.3">
      <c r="A52" s="278">
        <v>49</v>
      </c>
      <c r="B52" s="274" t="s">
        <v>1067</v>
      </c>
      <c r="C52" s="282"/>
    </row>
    <row r="53" spans="1:3" x14ac:dyDescent="0.3">
      <c r="A53" s="278">
        <v>50</v>
      </c>
      <c r="B53" s="274" t="s">
        <v>1019</v>
      </c>
      <c r="C53" s="282"/>
    </row>
    <row r="54" spans="1:3" x14ac:dyDescent="0.3">
      <c r="A54" s="278">
        <v>51</v>
      </c>
      <c r="B54" s="274" t="s">
        <v>1068</v>
      </c>
      <c r="C54" s="276" t="s">
        <v>1020</v>
      </c>
    </row>
    <row r="55" spans="1:3" x14ac:dyDescent="0.3">
      <c r="A55" s="278">
        <v>52</v>
      </c>
      <c r="B55" s="274" t="s">
        <v>1069</v>
      </c>
      <c r="C55" s="331"/>
    </row>
    <row r="56" spans="1:3" x14ac:dyDescent="0.3">
      <c r="A56" s="278">
        <v>53</v>
      </c>
      <c r="B56" s="274" t="s">
        <v>1021</v>
      </c>
      <c r="C56" s="276" t="s">
        <v>1022</v>
      </c>
    </row>
    <row r="57" spans="1:3" ht="15.75" thickBot="1" x14ac:dyDescent="0.35">
      <c r="A57" s="278">
        <v>54</v>
      </c>
      <c r="B57" s="281" t="s">
        <v>1023</v>
      </c>
      <c r="C57" s="286"/>
    </row>
    <row r="58" spans="1:3" x14ac:dyDescent="0.3">
      <c r="C58" s="270"/>
    </row>
    <row r="59" spans="1:3" x14ac:dyDescent="0.3">
      <c r="C59" s="270"/>
    </row>
    <row r="60" spans="1:3" x14ac:dyDescent="0.3">
      <c r="C60" s="270"/>
    </row>
    <row r="61" spans="1:3" x14ac:dyDescent="0.3">
      <c r="C61" s="270"/>
    </row>
    <row r="62" spans="1:3" x14ac:dyDescent="0.3">
      <c r="C62" s="270"/>
    </row>
    <row r="63" spans="1:3" x14ac:dyDescent="0.3">
      <c r="C63" s="270"/>
    </row>
    <row r="64" spans="1:3" x14ac:dyDescent="0.3">
      <c r="C64" s="270"/>
    </row>
    <row r="65" spans="3:3" x14ac:dyDescent="0.3">
      <c r="C65" s="270"/>
    </row>
  </sheetData>
  <mergeCells count="2">
    <mergeCell ref="B2:C2"/>
    <mergeCell ref="A1:C1"/>
  </mergeCells>
  <phoneticPr fontId="0" type="noConversion"/>
  <pageMargins left="0.59055118110236227" right="0.23622047244094491" top="0.47244094488188981" bottom="0.47244094488188981" header="0.31496062992125984" footer="0.51181102362204722"/>
  <pageSetup paperSize="9" orientation="portrait" r:id="rId1"/>
  <headerFooter alignWithMargins="0">
    <oddHeader>&amp;L&amp;"Comic Sans MS,Standaard"&amp;8versie 6, maart 2014&amp;R&amp;"Comic Sans MS,Standaard"&amp;8svu/th/whp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C37"/>
  <sheetViews>
    <sheetView showZeros="0" topLeftCell="A10" workbookViewId="0">
      <selection activeCell="G4" sqref="G4:L5"/>
    </sheetView>
  </sheetViews>
  <sheetFormatPr defaultRowHeight="12.75" x14ac:dyDescent="0.2"/>
  <cols>
    <col min="1" max="1" width="6.140625" customWidth="1"/>
    <col min="2" max="2" width="14" customWidth="1"/>
    <col min="3" max="3" width="13.85546875" customWidth="1"/>
    <col min="4" max="4" width="13.7109375" customWidth="1"/>
    <col min="5" max="5" width="13.5703125" customWidth="1"/>
    <col min="7" max="11" width="12.85546875" customWidth="1"/>
  </cols>
  <sheetData>
    <row r="1" spans="2:12" ht="9.75" customHeight="1" x14ac:dyDescent="0.2"/>
    <row r="2" spans="2:12" ht="19.5" x14ac:dyDescent="0.4">
      <c r="D2" s="576" t="s">
        <v>1050</v>
      </c>
      <c r="E2" s="576"/>
      <c r="F2" s="576"/>
      <c r="G2" s="576"/>
      <c r="H2" s="576"/>
      <c r="I2" s="576"/>
      <c r="J2" s="576"/>
      <c r="L2" s="86" t="s">
        <v>439</v>
      </c>
    </row>
    <row r="3" spans="2:12" ht="12.75" customHeight="1" x14ac:dyDescent="0.2"/>
    <row r="4" spans="2:12" ht="27" customHeight="1" x14ac:dyDescent="0.2">
      <c r="B4" s="87" t="s">
        <v>93</v>
      </c>
      <c r="C4" s="88">
        <f>'berekening Wort'!G4</f>
        <v>1049.8992163200001</v>
      </c>
      <c r="D4" s="577" t="s">
        <v>94</v>
      </c>
      <c r="E4" s="577"/>
      <c r="G4" s="578" t="s">
        <v>95</v>
      </c>
      <c r="H4" s="578"/>
      <c r="I4" s="578"/>
      <c r="J4" s="578"/>
      <c r="K4" s="578"/>
      <c r="L4" s="578"/>
    </row>
    <row r="5" spans="2:12" ht="27" customHeight="1" x14ac:dyDescent="0.4">
      <c r="B5" s="89" t="s">
        <v>96</v>
      </c>
      <c r="C5" s="90">
        <f>(C4-1000)/4</f>
        <v>12.474804080000013</v>
      </c>
      <c r="D5" s="577"/>
      <c r="E5" s="577"/>
      <c r="G5" s="578"/>
      <c r="H5" s="578"/>
      <c r="I5" s="578"/>
      <c r="J5" s="578"/>
      <c r="K5" s="578"/>
      <c r="L5" s="578"/>
    </row>
    <row r="6" spans="2:12" ht="15" x14ac:dyDescent="0.2">
      <c r="B6" s="249" t="s">
        <v>97</v>
      </c>
      <c r="C6" s="91" t="s">
        <v>98</v>
      </c>
      <c r="D6" s="91" t="s">
        <v>99</v>
      </c>
      <c r="E6" s="92" t="s">
        <v>100</v>
      </c>
    </row>
    <row r="7" spans="2:12" ht="16.5" x14ac:dyDescent="0.35">
      <c r="B7" s="96">
        <v>0</v>
      </c>
      <c r="C7" s="93">
        <f t="shared" ref="C7:C22" si="0">$C$5*(1-B7)</f>
        <v>12.474804080000013</v>
      </c>
      <c r="D7" s="94">
        <f t="shared" ref="D7:D22" si="1">(C7+0.425*0.51*B7*$C$5)</f>
        <v>12.474804080000013</v>
      </c>
      <c r="E7" s="95">
        <f t="shared" ref="E7:E22" si="2">0.51*B7*$C$5/0.789</f>
        <v>0</v>
      </c>
      <c r="G7" s="579" t="s">
        <v>101</v>
      </c>
      <c r="H7" s="579"/>
      <c r="I7" s="579"/>
      <c r="J7" s="579"/>
      <c r="K7" s="579"/>
      <c r="L7" s="579"/>
    </row>
    <row r="8" spans="2:12" ht="16.5" x14ac:dyDescent="0.35">
      <c r="B8" s="96">
        <v>0.1</v>
      </c>
      <c r="C8" s="97">
        <f t="shared" si="0"/>
        <v>11.227323672000011</v>
      </c>
      <c r="D8" s="98">
        <f t="shared" si="1"/>
        <v>11.497715050434012</v>
      </c>
      <c r="E8" s="99">
        <f t="shared" si="2"/>
        <v>0.80635615726235821</v>
      </c>
    </row>
    <row r="9" spans="2:12" ht="16.5" x14ac:dyDescent="0.35">
      <c r="B9" s="96">
        <v>0.2</v>
      </c>
      <c r="C9" s="97">
        <f t="shared" si="0"/>
        <v>9.9798432640000101</v>
      </c>
      <c r="D9" s="98">
        <f t="shared" si="1"/>
        <v>10.520626020868011</v>
      </c>
      <c r="E9" s="99">
        <f t="shared" si="2"/>
        <v>1.6127123145247164</v>
      </c>
    </row>
    <row r="10" spans="2:12" ht="16.5" x14ac:dyDescent="0.35">
      <c r="B10" s="96">
        <v>0.3</v>
      </c>
      <c r="C10" s="97">
        <f t="shared" si="0"/>
        <v>8.7323628560000088</v>
      </c>
      <c r="D10" s="98">
        <f t="shared" si="1"/>
        <v>9.5435369913020089</v>
      </c>
      <c r="E10" s="99">
        <f t="shared" si="2"/>
        <v>2.4190684717870745</v>
      </c>
    </row>
    <row r="11" spans="2:12" ht="16.5" x14ac:dyDescent="0.35">
      <c r="B11" s="96">
        <v>0.4</v>
      </c>
      <c r="C11" s="97">
        <f t="shared" si="0"/>
        <v>7.4848824480000076</v>
      </c>
      <c r="D11" s="98">
        <f t="shared" si="1"/>
        <v>8.5664479617360083</v>
      </c>
      <c r="E11" s="99">
        <f t="shared" si="2"/>
        <v>3.2254246290494328</v>
      </c>
    </row>
    <row r="12" spans="2:12" ht="16.5" x14ac:dyDescent="0.35">
      <c r="B12" s="96">
        <v>0.5</v>
      </c>
      <c r="C12" s="97">
        <f t="shared" si="0"/>
        <v>6.2374020400000063</v>
      </c>
      <c r="D12" s="98">
        <f t="shared" si="1"/>
        <v>7.5893589321700077</v>
      </c>
      <c r="E12" s="99">
        <f t="shared" si="2"/>
        <v>4.0317807863117912</v>
      </c>
    </row>
    <row r="13" spans="2:12" ht="16.5" x14ac:dyDescent="0.35">
      <c r="B13" s="96">
        <v>0.6</v>
      </c>
      <c r="C13" s="97">
        <f t="shared" si="0"/>
        <v>4.989921632000005</v>
      </c>
      <c r="D13" s="98">
        <f t="shared" si="1"/>
        <v>6.612269902604007</v>
      </c>
      <c r="E13" s="99">
        <f t="shared" si="2"/>
        <v>4.838136943574149</v>
      </c>
    </row>
    <row r="14" spans="2:12" ht="16.5" x14ac:dyDescent="0.35">
      <c r="B14" s="96">
        <v>0.62</v>
      </c>
      <c r="C14" s="97">
        <f t="shared" si="0"/>
        <v>4.7404255504000048</v>
      </c>
      <c r="D14" s="98">
        <f t="shared" si="1"/>
        <v>6.4168520966908069</v>
      </c>
      <c r="E14" s="99">
        <f t="shared" si="2"/>
        <v>4.9994081750266206</v>
      </c>
    </row>
    <row r="15" spans="2:12" ht="16.5" x14ac:dyDescent="0.35">
      <c r="B15" s="96">
        <v>0.63</v>
      </c>
      <c r="C15" s="97">
        <f t="shared" si="0"/>
        <v>4.6156775096000047</v>
      </c>
      <c r="D15" s="98">
        <f t="shared" si="1"/>
        <v>6.319143193734206</v>
      </c>
      <c r="E15" s="99">
        <f t="shared" si="2"/>
        <v>5.0800437907528568</v>
      </c>
    </row>
    <row r="16" spans="2:12" ht="16.5" x14ac:dyDescent="0.35">
      <c r="B16" s="96">
        <v>0.64</v>
      </c>
      <c r="C16" s="97">
        <f t="shared" si="0"/>
        <v>4.4909294688000045</v>
      </c>
      <c r="D16" s="98">
        <f t="shared" si="1"/>
        <v>6.2214342907776068</v>
      </c>
      <c r="E16" s="99">
        <f t="shared" si="2"/>
        <v>5.1606794064790931</v>
      </c>
    </row>
    <row r="17" spans="2:5" ht="16.5" x14ac:dyDescent="0.35">
      <c r="B17" s="96">
        <v>0.65</v>
      </c>
      <c r="C17" s="97">
        <f t="shared" si="0"/>
        <v>4.3661814280000044</v>
      </c>
      <c r="D17" s="98">
        <f t="shared" si="1"/>
        <v>6.1237253878210058</v>
      </c>
      <c r="E17" s="99">
        <f t="shared" si="2"/>
        <v>5.2413150222053284</v>
      </c>
    </row>
    <row r="18" spans="2:5" ht="16.5" x14ac:dyDescent="0.35">
      <c r="B18" s="96">
        <v>0.66</v>
      </c>
      <c r="C18" s="97">
        <f t="shared" si="0"/>
        <v>4.2414333872000043</v>
      </c>
      <c r="D18" s="98">
        <f t="shared" si="1"/>
        <v>6.0260164848644067</v>
      </c>
      <c r="E18" s="99">
        <f t="shared" si="2"/>
        <v>5.3219506379315638</v>
      </c>
    </row>
    <row r="19" spans="2:5" ht="16.5" x14ac:dyDescent="0.35">
      <c r="B19" s="182">
        <v>0.67</v>
      </c>
      <c r="C19" s="183">
        <f t="shared" si="0"/>
        <v>4.1166853464000033</v>
      </c>
      <c r="D19" s="184">
        <f t="shared" si="1"/>
        <v>5.9283075819078057</v>
      </c>
      <c r="E19" s="185">
        <f t="shared" si="2"/>
        <v>5.4025862536577991</v>
      </c>
    </row>
    <row r="20" spans="2:5" ht="16.5" x14ac:dyDescent="0.35">
      <c r="B20" s="96">
        <v>0.68</v>
      </c>
      <c r="C20" s="97">
        <f t="shared" si="0"/>
        <v>3.9919373056000036</v>
      </c>
      <c r="D20" s="98">
        <f t="shared" si="1"/>
        <v>5.8305986789512056</v>
      </c>
      <c r="E20" s="99">
        <f t="shared" si="2"/>
        <v>5.4832218693840362</v>
      </c>
    </row>
    <row r="21" spans="2:5" ht="16.5" x14ac:dyDescent="0.35">
      <c r="B21" s="96">
        <v>0.69</v>
      </c>
      <c r="C21" s="97">
        <f t="shared" si="0"/>
        <v>3.8671892648000044</v>
      </c>
      <c r="D21" s="98">
        <f t="shared" si="1"/>
        <v>5.7328897759946056</v>
      </c>
      <c r="E21" s="99">
        <f t="shared" si="2"/>
        <v>5.5638574851102716</v>
      </c>
    </row>
    <row r="22" spans="2:5" ht="16.5" x14ac:dyDescent="0.35">
      <c r="B22" s="100">
        <v>0.7</v>
      </c>
      <c r="C22" s="101">
        <f t="shared" si="0"/>
        <v>3.7424412240000042</v>
      </c>
      <c r="D22" s="102">
        <f t="shared" si="1"/>
        <v>5.6351808730380064</v>
      </c>
      <c r="E22" s="103">
        <f t="shared" si="2"/>
        <v>5.6444931008365078</v>
      </c>
    </row>
    <row r="23" spans="2:5" ht="16.5" x14ac:dyDescent="0.35">
      <c r="B23" s="104"/>
      <c r="C23" s="105"/>
      <c r="D23" s="106"/>
      <c r="E23" s="107"/>
    </row>
    <row r="24" spans="2:5" ht="16.5" x14ac:dyDescent="0.35">
      <c r="B24" s="104"/>
      <c r="C24" s="105"/>
      <c r="D24" s="106"/>
      <c r="E24" s="107"/>
    </row>
    <row r="25" spans="2:5" ht="16.5" x14ac:dyDescent="0.35">
      <c r="B25" s="104"/>
      <c r="C25" s="105"/>
      <c r="D25" s="106"/>
      <c r="E25" s="107"/>
    </row>
    <row r="26" spans="2:5" ht="16.5" x14ac:dyDescent="0.35">
      <c r="B26" s="104"/>
      <c r="C26" s="105"/>
      <c r="D26" s="106"/>
      <c r="E26" s="107"/>
    </row>
    <row r="27" spans="2:5" ht="16.5" x14ac:dyDescent="0.35">
      <c r="B27" s="104"/>
      <c r="C27" s="105"/>
      <c r="D27" s="106"/>
      <c r="E27" s="107"/>
    </row>
    <row r="28" spans="2:5" ht="16.5" x14ac:dyDescent="0.35">
      <c r="B28" s="104"/>
      <c r="C28" s="105"/>
      <c r="D28" s="106"/>
      <c r="E28" s="107"/>
    </row>
    <row r="29" spans="2:5" ht="16.5" x14ac:dyDescent="0.35">
      <c r="B29" s="104"/>
      <c r="C29" s="105"/>
      <c r="D29" s="106"/>
      <c r="E29" s="107"/>
    </row>
    <row r="30" spans="2:5" ht="16.5" x14ac:dyDescent="0.35">
      <c r="B30" s="104"/>
      <c r="C30" s="105"/>
      <c r="D30" s="106"/>
      <c r="E30" s="107"/>
    </row>
    <row r="31" spans="2:5" ht="16.5" x14ac:dyDescent="0.35">
      <c r="B31" s="104"/>
      <c r="C31" s="105"/>
      <c r="D31" s="106"/>
      <c r="E31" s="107"/>
    </row>
    <row r="32" spans="2:5" ht="16.5" x14ac:dyDescent="0.35">
      <c r="B32" s="104"/>
      <c r="C32" s="105"/>
      <c r="D32" s="106"/>
      <c r="E32" s="107"/>
    </row>
    <row r="33" spans="1:29" ht="15" x14ac:dyDescent="0.2">
      <c r="A33" s="108"/>
      <c r="B33" s="109"/>
      <c r="C33" s="110"/>
      <c r="D33" s="110"/>
      <c r="E33" s="110"/>
      <c r="H33" s="1"/>
      <c r="I33" s="1"/>
      <c r="J33" s="1"/>
      <c r="K33" s="1"/>
      <c r="L33" s="1"/>
      <c r="M33" s="1"/>
      <c r="N33" s="1"/>
      <c r="O33" s="1"/>
      <c r="P33" s="1"/>
      <c r="Q33" s="1"/>
      <c r="R33" s="1"/>
      <c r="S33" s="1"/>
      <c r="T33" s="1"/>
      <c r="U33" s="1"/>
      <c r="V33" s="1"/>
      <c r="W33" s="1"/>
      <c r="X33" s="1"/>
      <c r="Y33" s="1"/>
      <c r="Z33" s="1"/>
      <c r="AA33" s="1"/>
      <c r="AB33" s="1"/>
      <c r="AC33" s="1"/>
    </row>
    <row r="34" spans="1:29" ht="22.7" customHeight="1" x14ac:dyDescent="0.2">
      <c r="G34" s="1"/>
      <c r="H34" s="1"/>
      <c r="I34" s="111"/>
      <c r="J34" s="1"/>
      <c r="K34" s="1"/>
      <c r="L34" s="1"/>
      <c r="M34" s="1"/>
      <c r="N34" s="1"/>
      <c r="O34" s="1"/>
      <c r="P34" s="1"/>
      <c r="Q34" s="1"/>
      <c r="R34" s="1"/>
      <c r="S34" s="1"/>
      <c r="T34" s="1"/>
      <c r="U34" s="1"/>
      <c r="V34" s="1"/>
      <c r="W34" s="1"/>
      <c r="X34" s="1"/>
      <c r="Y34" s="1"/>
      <c r="Z34" s="1"/>
      <c r="AA34" s="1"/>
      <c r="AB34" s="1"/>
      <c r="AC34" s="1"/>
    </row>
    <row r="35" spans="1:29" ht="22.7" customHeight="1" x14ac:dyDescent="0.2">
      <c r="G35" s="1"/>
      <c r="H35" s="1"/>
      <c r="I35" s="111"/>
      <c r="J35" s="1"/>
      <c r="K35" s="1"/>
      <c r="L35" s="1"/>
      <c r="M35" s="1"/>
      <c r="N35" s="1"/>
      <c r="O35" s="1"/>
      <c r="P35" s="1"/>
      <c r="Q35" s="1"/>
      <c r="R35" s="1"/>
      <c r="S35" s="1"/>
      <c r="T35" s="1"/>
      <c r="U35" s="1"/>
      <c r="V35" s="1"/>
      <c r="W35" s="1"/>
      <c r="X35" s="1"/>
      <c r="Y35" s="1"/>
      <c r="Z35" s="1"/>
      <c r="AA35" s="1"/>
      <c r="AB35" s="1"/>
      <c r="AC35" s="1"/>
    </row>
    <row r="36" spans="1:29" x14ac:dyDescent="0.2">
      <c r="H36" s="1"/>
      <c r="I36" s="1"/>
      <c r="J36" s="1"/>
      <c r="K36" s="1"/>
      <c r="L36" s="1"/>
      <c r="M36" s="1"/>
      <c r="N36" s="1"/>
      <c r="O36" s="1"/>
      <c r="P36" s="1"/>
      <c r="Q36" s="1"/>
      <c r="R36" s="1"/>
      <c r="S36" s="1"/>
      <c r="T36" s="1"/>
      <c r="U36" s="1"/>
      <c r="V36" s="1"/>
      <c r="W36" s="1"/>
      <c r="X36" s="1"/>
      <c r="Y36" s="1"/>
      <c r="Z36" s="1"/>
      <c r="AA36" s="1"/>
      <c r="AB36" s="1"/>
      <c r="AC36" s="1"/>
    </row>
    <row r="37" spans="1:29" ht="29.25" customHeight="1" x14ac:dyDescent="0.2">
      <c r="G37" s="1"/>
      <c r="H37" s="1"/>
      <c r="I37" s="111"/>
      <c r="J37" s="1"/>
      <c r="K37" s="1"/>
      <c r="L37" s="1"/>
      <c r="M37" s="1"/>
      <c r="N37" s="1"/>
      <c r="O37" s="1"/>
      <c r="P37" s="1"/>
      <c r="Q37" s="1"/>
      <c r="R37" s="1"/>
      <c r="S37" s="1"/>
      <c r="T37" s="1"/>
      <c r="U37" s="1"/>
      <c r="V37" s="1"/>
      <c r="W37" s="1"/>
      <c r="X37" s="1"/>
      <c r="Y37" s="1"/>
      <c r="Z37" s="1"/>
      <c r="AA37" s="1"/>
      <c r="AB37" s="1"/>
      <c r="AC37" s="1"/>
    </row>
  </sheetData>
  <sheetProtection password="CC6F" sheet="1" objects="1" scenarios="1"/>
  <mergeCells count="4">
    <mergeCell ref="D2:J2"/>
    <mergeCell ref="D4:E5"/>
    <mergeCell ref="G4:L5"/>
    <mergeCell ref="G7:L7"/>
  </mergeCells>
  <phoneticPr fontId="0" type="noConversion"/>
  <pageMargins left="0.75" right="0.75" top="1" bottom="1" header="0.51180555555555551" footer="0.51180555555555551"/>
  <pageSetup paperSize="9" scale="87" firstPageNumber="0" orientation="landscape" horizontalDpi="300" verticalDpi="300" r:id="rId1"/>
  <headerFooter alignWithMargins="0">
    <oddHeader>&amp;L&amp;"Comic Sans MS,Standaard"&amp;8versie 6, maart 2014&amp;R&amp;8svu/th/whp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70"/>
  <sheetViews>
    <sheetView showZeros="0" workbookViewId="0">
      <selection activeCell="A5" sqref="A5:I11"/>
    </sheetView>
  </sheetViews>
  <sheetFormatPr defaultColWidth="9.140625" defaultRowHeight="16.5" x14ac:dyDescent="0.35"/>
  <cols>
    <col min="1" max="3" width="9.140625" style="372"/>
    <col min="4" max="16384" width="9.140625" style="121"/>
  </cols>
  <sheetData>
    <row r="1" spans="1:9" x14ac:dyDescent="0.35">
      <c r="A1" s="598" t="s">
        <v>102</v>
      </c>
      <c r="B1" s="599"/>
      <c r="C1" s="599"/>
      <c r="D1" s="599"/>
      <c r="E1" s="599"/>
      <c r="F1" s="599"/>
      <c r="G1" s="599"/>
      <c r="H1" s="599"/>
      <c r="I1" s="600"/>
    </row>
    <row r="2" spans="1:9" ht="13.15" customHeight="1" x14ac:dyDescent="0.3">
      <c r="A2" s="601" t="s">
        <v>942</v>
      </c>
      <c r="B2" s="602"/>
      <c r="C2" s="602"/>
      <c r="D2" s="602"/>
      <c r="E2" s="602"/>
      <c r="F2" s="602"/>
      <c r="G2" s="602"/>
      <c r="H2" s="602"/>
      <c r="I2" s="603"/>
    </row>
    <row r="3" spans="1:9" ht="26.45" customHeight="1" x14ac:dyDescent="0.3">
      <c r="A3" s="601"/>
      <c r="B3" s="602"/>
      <c r="C3" s="602"/>
      <c r="D3" s="602"/>
      <c r="E3" s="602"/>
      <c r="F3" s="602"/>
      <c r="G3" s="602"/>
      <c r="H3" s="602"/>
      <c r="I3" s="603"/>
    </row>
    <row r="4" spans="1:9" x14ac:dyDescent="0.35">
      <c r="A4" s="589" t="s">
        <v>103</v>
      </c>
      <c r="B4" s="590"/>
      <c r="C4" s="590"/>
      <c r="D4" s="590"/>
      <c r="E4" s="590"/>
      <c r="F4" s="590"/>
      <c r="G4" s="590"/>
      <c r="H4" s="590"/>
      <c r="I4" s="591"/>
    </row>
    <row r="5" spans="1:9" ht="15" x14ac:dyDescent="0.3">
      <c r="A5" s="580"/>
      <c r="B5" s="581"/>
      <c r="C5" s="581"/>
      <c r="D5" s="581"/>
      <c r="E5" s="581"/>
      <c r="F5" s="581"/>
      <c r="G5" s="581"/>
      <c r="H5" s="581"/>
      <c r="I5" s="582"/>
    </row>
    <row r="6" spans="1:9" ht="15" x14ac:dyDescent="0.3">
      <c r="A6" s="583"/>
      <c r="B6" s="584"/>
      <c r="C6" s="584"/>
      <c r="D6" s="584"/>
      <c r="E6" s="584"/>
      <c r="F6" s="584"/>
      <c r="G6" s="584"/>
      <c r="H6" s="584"/>
      <c r="I6" s="585"/>
    </row>
    <row r="7" spans="1:9" ht="15" x14ac:dyDescent="0.3">
      <c r="A7" s="583"/>
      <c r="B7" s="584"/>
      <c r="C7" s="584"/>
      <c r="D7" s="584"/>
      <c r="E7" s="584"/>
      <c r="F7" s="584"/>
      <c r="G7" s="584"/>
      <c r="H7" s="584"/>
      <c r="I7" s="585"/>
    </row>
    <row r="8" spans="1:9" ht="15" x14ac:dyDescent="0.3">
      <c r="A8" s="583"/>
      <c r="B8" s="584"/>
      <c r="C8" s="584"/>
      <c r="D8" s="584"/>
      <c r="E8" s="584"/>
      <c r="F8" s="584"/>
      <c r="G8" s="584"/>
      <c r="H8" s="584"/>
      <c r="I8" s="585"/>
    </row>
    <row r="9" spans="1:9" ht="15" x14ac:dyDescent="0.3">
      <c r="A9" s="583"/>
      <c r="B9" s="584"/>
      <c r="C9" s="584"/>
      <c r="D9" s="584"/>
      <c r="E9" s="584"/>
      <c r="F9" s="584"/>
      <c r="G9" s="584"/>
      <c r="H9" s="584"/>
      <c r="I9" s="585"/>
    </row>
    <row r="10" spans="1:9" ht="15" x14ac:dyDescent="0.3">
      <c r="A10" s="583"/>
      <c r="B10" s="584"/>
      <c r="C10" s="584"/>
      <c r="D10" s="584"/>
      <c r="E10" s="584"/>
      <c r="F10" s="584"/>
      <c r="G10" s="584"/>
      <c r="H10" s="584"/>
      <c r="I10" s="585"/>
    </row>
    <row r="11" spans="1:9" ht="15" x14ac:dyDescent="0.3">
      <c r="A11" s="583"/>
      <c r="B11" s="584"/>
      <c r="C11" s="584"/>
      <c r="D11" s="584"/>
      <c r="E11" s="584"/>
      <c r="F11" s="584"/>
      <c r="G11" s="584"/>
      <c r="H11" s="584"/>
      <c r="I11" s="585"/>
    </row>
    <row r="12" spans="1:9" x14ac:dyDescent="0.3">
      <c r="A12" s="592" t="s">
        <v>881</v>
      </c>
      <c r="B12" s="593"/>
      <c r="C12" s="593"/>
      <c r="D12" s="593"/>
      <c r="E12" s="593"/>
      <c r="F12" s="593"/>
      <c r="G12" s="593"/>
      <c r="H12" s="593"/>
      <c r="I12" s="594"/>
    </row>
    <row r="13" spans="1:9" ht="15" customHeight="1" x14ac:dyDescent="0.3">
      <c r="A13" s="595"/>
      <c r="B13" s="596"/>
      <c r="C13" s="596"/>
      <c r="D13" s="596"/>
      <c r="E13" s="596"/>
      <c r="F13" s="596"/>
      <c r="G13" s="596"/>
      <c r="H13" s="596"/>
      <c r="I13" s="597"/>
    </row>
    <row r="14" spans="1:9" ht="15" customHeight="1" x14ac:dyDescent="0.3">
      <c r="A14" s="583"/>
      <c r="B14" s="584"/>
      <c r="C14" s="584"/>
      <c r="D14" s="584"/>
      <c r="E14" s="584"/>
      <c r="F14" s="584"/>
      <c r="G14" s="584"/>
      <c r="H14" s="584"/>
      <c r="I14" s="585"/>
    </row>
    <row r="15" spans="1:9" ht="15" customHeight="1" x14ac:dyDescent="0.3">
      <c r="A15" s="583"/>
      <c r="B15" s="584"/>
      <c r="C15" s="584"/>
      <c r="D15" s="584"/>
      <c r="E15" s="584"/>
      <c r="F15" s="584"/>
      <c r="G15" s="584"/>
      <c r="H15" s="584"/>
      <c r="I15" s="585"/>
    </row>
    <row r="16" spans="1:9" ht="15" customHeight="1" x14ac:dyDescent="0.3">
      <c r="A16" s="583"/>
      <c r="B16" s="584"/>
      <c r="C16" s="584"/>
      <c r="D16" s="584"/>
      <c r="E16" s="584"/>
      <c r="F16" s="584"/>
      <c r="G16" s="584"/>
      <c r="H16" s="584"/>
      <c r="I16" s="585"/>
    </row>
    <row r="17" spans="1:9" ht="15" customHeight="1" x14ac:dyDescent="0.3">
      <c r="A17" s="583"/>
      <c r="B17" s="584"/>
      <c r="C17" s="584"/>
      <c r="D17" s="584"/>
      <c r="E17" s="584"/>
      <c r="F17" s="584"/>
      <c r="G17" s="584"/>
      <c r="H17" s="584"/>
      <c r="I17" s="585"/>
    </row>
    <row r="18" spans="1:9" ht="15" customHeight="1" x14ac:dyDescent="0.3">
      <c r="A18" s="583"/>
      <c r="B18" s="584"/>
      <c r="C18" s="584"/>
      <c r="D18" s="584"/>
      <c r="E18" s="584"/>
      <c r="F18" s="584"/>
      <c r="G18" s="584"/>
      <c r="H18" s="584"/>
      <c r="I18" s="585"/>
    </row>
    <row r="19" spans="1:9" ht="15" customHeight="1" x14ac:dyDescent="0.3">
      <c r="A19" s="583"/>
      <c r="B19" s="584"/>
      <c r="C19" s="584"/>
      <c r="D19" s="584"/>
      <c r="E19" s="584"/>
      <c r="F19" s="584"/>
      <c r="G19" s="584"/>
      <c r="H19" s="584"/>
      <c r="I19" s="585"/>
    </row>
    <row r="20" spans="1:9" ht="15" customHeight="1" x14ac:dyDescent="0.3">
      <c r="A20" s="592" t="s">
        <v>882</v>
      </c>
      <c r="B20" s="593"/>
      <c r="C20" s="593"/>
      <c r="D20" s="593"/>
      <c r="E20" s="593"/>
      <c r="F20" s="593"/>
      <c r="G20" s="593"/>
      <c r="H20" s="593"/>
      <c r="I20" s="594"/>
    </row>
    <row r="21" spans="1:9" ht="15" customHeight="1" x14ac:dyDescent="0.3">
      <c r="A21" s="595"/>
      <c r="B21" s="596"/>
      <c r="C21" s="596"/>
      <c r="D21" s="596"/>
      <c r="E21" s="596"/>
      <c r="F21" s="596"/>
      <c r="G21" s="596"/>
      <c r="H21" s="596"/>
      <c r="I21" s="597"/>
    </row>
    <row r="22" spans="1:9" ht="15" customHeight="1" x14ac:dyDescent="0.3">
      <c r="A22" s="583"/>
      <c r="B22" s="584"/>
      <c r="C22" s="584"/>
      <c r="D22" s="584"/>
      <c r="E22" s="584"/>
      <c r="F22" s="584"/>
      <c r="G22" s="584"/>
      <c r="H22" s="584"/>
      <c r="I22" s="585"/>
    </row>
    <row r="23" spans="1:9" ht="15" customHeight="1" x14ac:dyDescent="0.3">
      <c r="A23" s="583"/>
      <c r="B23" s="584"/>
      <c r="C23" s="584"/>
      <c r="D23" s="584"/>
      <c r="E23" s="584"/>
      <c r="F23" s="584"/>
      <c r="G23" s="584"/>
      <c r="H23" s="584"/>
      <c r="I23" s="585"/>
    </row>
    <row r="24" spans="1:9" ht="15" customHeight="1" x14ac:dyDescent="0.3">
      <c r="A24" s="583"/>
      <c r="B24" s="584"/>
      <c r="C24" s="584"/>
      <c r="D24" s="584"/>
      <c r="E24" s="584"/>
      <c r="F24" s="584"/>
      <c r="G24" s="584"/>
      <c r="H24" s="584"/>
      <c r="I24" s="585"/>
    </row>
    <row r="25" spans="1:9" ht="15" customHeight="1" x14ac:dyDescent="0.3">
      <c r="A25" s="583"/>
      <c r="B25" s="584"/>
      <c r="C25" s="584"/>
      <c r="D25" s="584"/>
      <c r="E25" s="584"/>
      <c r="F25" s="584"/>
      <c r="G25" s="584"/>
      <c r="H25" s="584"/>
      <c r="I25" s="585"/>
    </row>
    <row r="26" spans="1:9" ht="15" customHeight="1" x14ac:dyDescent="0.3">
      <c r="A26" s="583"/>
      <c r="B26" s="584"/>
      <c r="C26" s="584"/>
      <c r="D26" s="584"/>
      <c r="E26" s="584"/>
      <c r="F26" s="584"/>
      <c r="G26" s="584"/>
      <c r="H26" s="584"/>
      <c r="I26" s="585"/>
    </row>
    <row r="27" spans="1:9" ht="15" customHeight="1" x14ac:dyDescent="0.3">
      <c r="A27" s="583"/>
      <c r="B27" s="584"/>
      <c r="C27" s="584"/>
      <c r="D27" s="584"/>
      <c r="E27" s="584"/>
      <c r="F27" s="584"/>
      <c r="G27" s="584"/>
      <c r="H27" s="584"/>
      <c r="I27" s="585"/>
    </row>
    <row r="28" spans="1:9" x14ac:dyDescent="0.35">
      <c r="A28" s="589" t="s">
        <v>104</v>
      </c>
      <c r="B28" s="590"/>
      <c r="C28" s="590"/>
      <c r="D28" s="590"/>
      <c r="E28" s="590"/>
      <c r="F28" s="590"/>
      <c r="G28" s="590"/>
      <c r="H28" s="590"/>
      <c r="I28" s="591"/>
    </row>
    <row r="29" spans="1:9" ht="15" x14ac:dyDescent="0.3">
      <c r="A29" s="580"/>
      <c r="B29" s="581"/>
      <c r="C29" s="581"/>
      <c r="D29" s="581"/>
      <c r="E29" s="581"/>
      <c r="F29" s="581"/>
      <c r="G29" s="581"/>
      <c r="H29" s="581"/>
      <c r="I29" s="582"/>
    </row>
    <row r="30" spans="1:9" ht="15" x14ac:dyDescent="0.3">
      <c r="A30" s="583"/>
      <c r="B30" s="584"/>
      <c r="C30" s="584"/>
      <c r="D30" s="584"/>
      <c r="E30" s="584"/>
      <c r="F30" s="584"/>
      <c r="G30" s="584"/>
      <c r="H30" s="584"/>
      <c r="I30" s="585"/>
    </row>
    <row r="31" spans="1:9" ht="15" x14ac:dyDescent="0.3">
      <c r="A31" s="583"/>
      <c r="B31" s="584"/>
      <c r="C31" s="584"/>
      <c r="D31" s="584"/>
      <c r="E31" s="584"/>
      <c r="F31" s="584"/>
      <c r="G31" s="584"/>
      <c r="H31" s="584"/>
      <c r="I31" s="585"/>
    </row>
    <row r="32" spans="1:9" ht="15" x14ac:dyDescent="0.3">
      <c r="A32" s="583"/>
      <c r="B32" s="584"/>
      <c r="C32" s="584"/>
      <c r="D32" s="584"/>
      <c r="E32" s="584"/>
      <c r="F32" s="584"/>
      <c r="G32" s="584"/>
      <c r="H32" s="584"/>
      <c r="I32" s="585"/>
    </row>
    <row r="33" spans="1:9" ht="15" x14ac:dyDescent="0.3">
      <c r="A33" s="583"/>
      <c r="B33" s="584"/>
      <c r="C33" s="584"/>
      <c r="D33" s="584"/>
      <c r="E33" s="584"/>
      <c r="F33" s="584"/>
      <c r="G33" s="584"/>
      <c r="H33" s="584"/>
      <c r="I33" s="585"/>
    </row>
    <row r="34" spans="1:9" ht="15" x14ac:dyDescent="0.3">
      <c r="A34" s="583"/>
      <c r="B34" s="584"/>
      <c r="C34" s="584"/>
      <c r="D34" s="584"/>
      <c r="E34" s="584"/>
      <c r="F34" s="584"/>
      <c r="G34" s="584"/>
      <c r="H34" s="584"/>
      <c r="I34" s="585"/>
    </row>
    <row r="35" spans="1:9" ht="15" x14ac:dyDescent="0.3">
      <c r="A35" s="583"/>
      <c r="B35" s="584"/>
      <c r="C35" s="584"/>
      <c r="D35" s="584"/>
      <c r="E35" s="584"/>
      <c r="F35" s="584"/>
      <c r="G35" s="584"/>
      <c r="H35" s="584"/>
      <c r="I35" s="585"/>
    </row>
    <row r="36" spans="1:9" x14ac:dyDescent="0.35">
      <c r="A36" s="589" t="s">
        <v>105</v>
      </c>
      <c r="B36" s="590"/>
      <c r="C36" s="590"/>
      <c r="D36" s="590"/>
      <c r="E36" s="590"/>
      <c r="F36" s="590"/>
      <c r="G36" s="590"/>
      <c r="H36" s="590"/>
      <c r="I36" s="591"/>
    </row>
    <row r="37" spans="1:9" ht="15" x14ac:dyDescent="0.3">
      <c r="A37" s="580"/>
      <c r="B37" s="581"/>
      <c r="C37" s="581"/>
      <c r="D37" s="581"/>
      <c r="E37" s="581"/>
      <c r="F37" s="581"/>
      <c r="G37" s="581"/>
      <c r="H37" s="581"/>
      <c r="I37" s="582"/>
    </row>
    <row r="38" spans="1:9" ht="15" x14ac:dyDescent="0.3">
      <c r="A38" s="583"/>
      <c r="B38" s="584"/>
      <c r="C38" s="584"/>
      <c r="D38" s="584"/>
      <c r="E38" s="584"/>
      <c r="F38" s="584"/>
      <c r="G38" s="584"/>
      <c r="H38" s="584"/>
      <c r="I38" s="585"/>
    </row>
    <row r="39" spans="1:9" ht="15" x14ac:dyDescent="0.3">
      <c r="A39" s="583"/>
      <c r="B39" s="584"/>
      <c r="C39" s="584"/>
      <c r="D39" s="584"/>
      <c r="E39" s="584"/>
      <c r="F39" s="584"/>
      <c r="G39" s="584"/>
      <c r="H39" s="584"/>
      <c r="I39" s="585"/>
    </row>
    <row r="40" spans="1:9" ht="12" customHeight="1" x14ac:dyDescent="0.3">
      <c r="A40" s="583"/>
      <c r="B40" s="584"/>
      <c r="C40" s="584"/>
      <c r="D40" s="584"/>
      <c r="E40" s="584"/>
      <c r="F40" s="584"/>
      <c r="G40" s="584"/>
      <c r="H40" s="584"/>
      <c r="I40" s="585"/>
    </row>
    <row r="41" spans="1:9" ht="15" x14ac:dyDescent="0.3">
      <c r="A41" s="583"/>
      <c r="B41" s="584"/>
      <c r="C41" s="584"/>
      <c r="D41" s="584"/>
      <c r="E41" s="584"/>
      <c r="F41" s="584"/>
      <c r="G41" s="584"/>
      <c r="H41" s="584"/>
      <c r="I41" s="585"/>
    </row>
    <row r="42" spans="1:9" ht="15" x14ac:dyDescent="0.3">
      <c r="A42" s="583"/>
      <c r="B42" s="584"/>
      <c r="C42" s="584"/>
      <c r="D42" s="584"/>
      <c r="E42" s="584"/>
      <c r="F42" s="584"/>
      <c r="G42" s="584"/>
      <c r="H42" s="584"/>
      <c r="I42" s="585"/>
    </row>
    <row r="43" spans="1:9" ht="15" x14ac:dyDescent="0.3">
      <c r="A43" s="583"/>
      <c r="B43" s="584"/>
      <c r="C43" s="584"/>
      <c r="D43" s="584"/>
      <c r="E43" s="584"/>
      <c r="F43" s="584"/>
      <c r="G43" s="584"/>
      <c r="H43" s="584"/>
      <c r="I43" s="585"/>
    </row>
    <row r="44" spans="1:9" x14ac:dyDescent="0.35">
      <c r="A44" s="589" t="s">
        <v>106</v>
      </c>
      <c r="B44" s="590"/>
      <c r="C44" s="590"/>
      <c r="D44" s="590"/>
      <c r="E44" s="590"/>
      <c r="F44" s="590"/>
      <c r="G44" s="590"/>
      <c r="H44" s="590"/>
      <c r="I44" s="591"/>
    </row>
    <row r="45" spans="1:9" ht="15" x14ac:dyDescent="0.3">
      <c r="A45" s="580"/>
      <c r="B45" s="581"/>
      <c r="C45" s="581"/>
      <c r="D45" s="581"/>
      <c r="E45" s="581"/>
      <c r="F45" s="581"/>
      <c r="G45" s="581"/>
      <c r="H45" s="581"/>
      <c r="I45" s="582"/>
    </row>
    <row r="46" spans="1:9" ht="15" x14ac:dyDescent="0.3">
      <c r="A46" s="583"/>
      <c r="B46" s="584"/>
      <c r="C46" s="584"/>
      <c r="D46" s="584"/>
      <c r="E46" s="584"/>
      <c r="F46" s="584"/>
      <c r="G46" s="584"/>
      <c r="H46" s="584"/>
      <c r="I46" s="585"/>
    </row>
    <row r="47" spans="1:9" ht="15" x14ac:dyDescent="0.3">
      <c r="A47" s="583"/>
      <c r="B47" s="584"/>
      <c r="C47" s="584"/>
      <c r="D47" s="584"/>
      <c r="E47" s="584"/>
      <c r="F47" s="584"/>
      <c r="G47" s="584"/>
      <c r="H47" s="584"/>
      <c r="I47" s="585"/>
    </row>
    <row r="48" spans="1:9" ht="15" x14ac:dyDescent="0.3">
      <c r="A48" s="583"/>
      <c r="B48" s="584"/>
      <c r="C48" s="584"/>
      <c r="D48" s="584"/>
      <c r="E48" s="584"/>
      <c r="F48" s="584"/>
      <c r="G48" s="584"/>
      <c r="H48" s="584"/>
      <c r="I48" s="585"/>
    </row>
    <row r="49" spans="1:9" ht="15" x14ac:dyDescent="0.3">
      <c r="A49" s="583"/>
      <c r="B49" s="584"/>
      <c r="C49" s="584"/>
      <c r="D49" s="584"/>
      <c r="E49" s="584"/>
      <c r="F49" s="584"/>
      <c r="G49" s="584"/>
      <c r="H49" s="584"/>
      <c r="I49" s="585"/>
    </row>
    <row r="50" spans="1:9" ht="15" x14ac:dyDescent="0.3">
      <c r="A50" s="583"/>
      <c r="B50" s="584"/>
      <c r="C50" s="584"/>
      <c r="D50" s="584"/>
      <c r="E50" s="584"/>
      <c r="F50" s="584"/>
      <c r="G50" s="584"/>
      <c r="H50" s="584"/>
      <c r="I50" s="585"/>
    </row>
    <row r="51" spans="1:9" ht="15" x14ac:dyDescent="0.3">
      <c r="A51" s="583"/>
      <c r="B51" s="584"/>
      <c r="C51" s="584"/>
      <c r="D51" s="584"/>
      <c r="E51" s="584"/>
      <c r="F51" s="584"/>
      <c r="G51" s="584"/>
      <c r="H51" s="584"/>
      <c r="I51" s="585"/>
    </row>
    <row r="52" spans="1:9" ht="15" x14ac:dyDescent="0.3">
      <c r="A52" s="583"/>
      <c r="B52" s="584"/>
      <c r="C52" s="584"/>
      <c r="D52" s="584"/>
      <c r="E52" s="584"/>
      <c r="F52" s="584"/>
      <c r="G52" s="584"/>
      <c r="H52" s="584"/>
      <c r="I52" s="585"/>
    </row>
    <row r="53" spans="1:9" ht="15" x14ac:dyDescent="0.3">
      <c r="A53" s="583"/>
      <c r="B53" s="584"/>
      <c r="C53" s="584"/>
      <c r="D53" s="584"/>
      <c r="E53" s="584"/>
      <c r="F53" s="584"/>
      <c r="G53" s="584"/>
      <c r="H53" s="584"/>
      <c r="I53" s="585"/>
    </row>
    <row r="54" spans="1:9" x14ac:dyDescent="0.35">
      <c r="A54" s="589" t="s">
        <v>107</v>
      </c>
      <c r="B54" s="590"/>
      <c r="C54" s="590"/>
      <c r="D54" s="590"/>
      <c r="E54" s="590"/>
      <c r="F54" s="590"/>
      <c r="G54" s="590"/>
      <c r="H54" s="590"/>
      <c r="I54" s="591"/>
    </row>
    <row r="55" spans="1:9" ht="15" x14ac:dyDescent="0.3">
      <c r="A55" s="580"/>
      <c r="B55" s="581"/>
      <c r="C55" s="581"/>
      <c r="D55" s="581"/>
      <c r="E55" s="581"/>
      <c r="F55" s="581"/>
      <c r="G55" s="581"/>
      <c r="H55" s="581"/>
      <c r="I55" s="582"/>
    </row>
    <row r="56" spans="1:9" ht="15" x14ac:dyDescent="0.3">
      <c r="A56" s="583"/>
      <c r="B56" s="584"/>
      <c r="C56" s="584"/>
      <c r="D56" s="584"/>
      <c r="E56" s="584"/>
      <c r="F56" s="584"/>
      <c r="G56" s="584"/>
      <c r="H56" s="584"/>
      <c r="I56" s="585"/>
    </row>
    <row r="57" spans="1:9" ht="15" x14ac:dyDescent="0.3">
      <c r="A57" s="583"/>
      <c r="B57" s="584"/>
      <c r="C57" s="584"/>
      <c r="D57" s="584"/>
      <c r="E57" s="584"/>
      <c r="F57" s="584"/>
      <c r="G57" s="584"/>
      <c r="H57" s="584"/>
      <c r="I57" s="585"/>
    </row>
    <row r="58" spans="1:9" ht="15" x14ac:dyDescent="0.3">
      <c r="A58" s="583"/>
      <c r="B58" s="584"/>
      <c r="C58" s="584"/>
      <c r="D58" s="584"/>
      <c r="E58" s="584"/>
      <c r="F58" s="584"/>
      <c r="G58" s="584"/>
      <c r="H58" s="584"/>
      <c r="I58" s="585"/>
    </row>
    <row r="59" spans="1:9" ht="15" x14ac:dyDescent="0.3">
      <c r="A59" s="583"/>
      <c r="B59" s="584"/>
      <c r="C59" s="584"/>
      <c r="D59" s="584"/>
      <c r="E59" s="584"/>
      <c r="F59" s="584"/>
      <c r="G59" s="584"/>
      <c r="H59" s="584"/>
      <c r="I59" s="585"/>
    </row>
    <row r="60" spans="1:9" ht="15" x14ac:dyDescent="0.3">
      <c r="A60" s="583"/>
      <c r="B60" s="584"/>
      <c r="C60" s="584"/>
      <c r="D60" s="584"/>
      <c r="E60" s="584"/>
      <c r="F60" s="584"/>
      <c r="G60" s="584"/>
      <c r="H60" s="584"/>
      <c r="I60" s="585"/>
    </row>
    <row r="61" spans="1:9" ht="15" x14ac:dyDescent="0.3">
      <c r="A61" s="583"/>
      <c r="B61" s="584"/>
      <c r="C61" s="584"/>
      <c r="D61" s="584"/>
      <c r="E61" s="584"/>
      <c r="F61" s="584"/>
      <c r="G61" s="584"/>
      <c r="H61" s="584"/>
      <c r="I61" s="585"/>
    </row>
    <row r="62" spans="1:9" x14ac:dyDescent="0.35">
      <c r="A62" s="589" t="s">
        <v>108</v>
      </c>
      <c r="B62" s="590"/>
      <c r="C62" s="590"/>
      <c r="D62" s="590"/>
      <c r="E62" s="590"/>
      <c r="F62" s="590"/>
      <c r="G62" s="590"/>
      <c r="H62" s="590"/>
      <c r="I62" s="591"/>
    </row>
    <row r="63" spans="1:9" ht="15" x14ac:dyDescent="0.3">
      <c r="A63" s="580"/>
      <c r="B63" s="581"/>
      <c r="C63" s="581"/>
      <c r="D63" s="581"/>
      <c r="E63" s="581"/>
      <c r="F63" s="581"/>
      <c r="G63" s="581"/>
      <c r="H63" s="581"/>
      <c r="I63" s="582"/>
    </row>
    <row r="64" spans="1:9" ht="15" x14ac:dyDescent="0.3">
      <c r="A64" s="583"/>
      <c r="B64" s="584"/>
      <c r="C64" s="584"/>
      <c r="D64" s="584"/>
      <c r="E64" s="584"/>
      <c r="F64" s="584"/>
      <c r="G64" s="584"/>
      <c r="H64" s="584"/>
      <c r="I64" s="585"/>
    </row>
    <row r="65" spans="1:9" ht="15" x14ac:dyDescent="0.3">
      <c r="A65" s="583"/>
      <c r="B65" s="584"/>
      <c r="C65" s="584"/>
      <c r="D65" s="584"/>
      <c r="E65" s="584"/>
      <c r="F65" s="584"/>
      <c r="G65" s="584"/>
      <c r="H65" s="584"/>
      <c r="I65" s="585"/>
    </row>
    <row r="66" spans="1:9" ht="15" x14ac:dyDescent="0.3">
      <c r="A66" s="583"/>
      <c r="B66" s="584"/>
      <c r="C66" s="584"/>
      <c r="D66" s="584"/>
      <c r="E66" s="584"/>
      <c r="F66" s="584"/>
      <c r="G66" s="584"/>
      <c r="H66" s="584"/>
      <c r="I66" s="585"/>
    </row>
    <row r="67" spans="1:9" ht="15" x14ac:dyDescent="0.3">
      <c r="A67" s="583"/>
      <c r="B67" s="584"/>
      <c r="C67" s="584"/>
      <c r="D67" s="584"/>
      <c r="E67" s="584"/>
      <c r="F67" s="584"/>
      <c r="G67" s="584"/>
      <c r="H67" s="584"/>
      <c r="I67" s="585"/>
    </row>
    <row r="68" spans="1:9" ht="15" x14ac:dyDescent="0.3">
      <c r="A68" s="583"/>
      <c r="B68" s="584"/>
      <c r="C68" s="584"/>
      <c r="D68" s="584"/>
      <c r="E68" s="584"/>
      <c r="F68" s="584"/>
      <c r="G68" s="584"/>
      <c r="H68" s="584"/>
      <c r="I68" s="585"/>
    </row>
    <row r="69" spans="1:9" ht="15" x14ac:dyDescent="0.3">
      <c r="A69" s="583"/>
      <c r="B69" s="584"/>
      <c r="C69" s="584"/>
      <c r="D69" s="584"/>
      <c r="E69" s="584"/>
      <c r="F69" s="584"/>
      <c r="G69" s="584"/>
      <c r="H69" s="584"/>
      <c r="I69" s="585"/>
    </row>
    <row r="70" spans="1:9" ht="15.75" thickBot="1" x14ac:dyDescent="0.35">
      <c r="A70" s="586"/>
      <c r="B70" s="587"/>
      <c r="C70" s="587"/>
      <c r="D70" s="587"/>
      <c r="E70" s="587"/>
      <c r="F70" s="587"/>
      <c r="G70" s="587"/>
      <c r="H70" s="587"/>
      <c r="I70" s="588"/>
    </row>
  </sheetData>
  <sheetProtection selectLockedCells="1" selectUnlockedCells="1"/>
  <mergeCells count="18">
    <mergeCell ref="A12:I12"/>
    <mergeCell ref="A13:I19"/>
    <mergeCell ref="A20:I20"/>
    <mergeCell ref="A21:I27"/>
    <mergeCell ref="A1:I1"/>
    <mergeCell ref="A2:I3"/>
    <mergeCell ref="A4:I4"/>
    <mergeCell ref="A5:I11"/>
    <mergeCell ref="A28:I28"/>
    <mergeCell ref="A29:I35"/>
    <mergeCell ref="A36:I36"/>
    <mergeCell ref="A37:I43"/>
    <mergeCell ref="A62:I62"/>
    <mergeCell ref="A63:I70"/>
    <mergeCell ref="A44:I44"/>
    <mergeCell ref="A45:I53"/>
    <mergeCell ref="A54:I54"/>
    <mergeCell ref="A55:I61"/>
  </mergeCells>
  <phoneticPr fontId="0" type="noConversion"/>
  <pageMargins left="0.74803149606299213" right="0.74803149606299213" top="0.78740157480314965" bottom="0.98425196850393704"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E139"/>
  <sheetViews>
    <sheetView showZeros="0" zoomScaleNormal="100" workbookViewId="0">
      <selection activeCell="D5" sqref="D5"/>
    </sheetView>
  </sheetViews>
  <sheetFormatPr defaultColWidth="8" defaultRowHeight="12.75" x14ac:dyDescent="0.2"/>
  <cols>
    <col min="1" max="1" width="9.140625" style="345" customWidth="1"/>
    <col min="2" max="2" width="30.42578125" style="349" customWidth="1"/>
    <col min="3" max="3" width="12.140625" style="349" customWidth="1"/>
    <col min="4" max="4" width="11.28515625" style="347" customWidth="1"/>
    <col min="5" max="5" width="12.140625" style="364" customWidth="1"/>
    <col min="6" max="16384" width="8" style="349"/>
  </cols>
  <sheetData>
    <row r="1" spans="1:5" s="344" customFormat="1" ht="33" x14ac:dyDescent="0.2">
      <c r="A1" s="350" t="s">
        <v>109</v>
      </c>
      <c r="B1" s="350" t="s">
        <v>110</v>
      </c>
      <c r="C1" s="350"/>
      <c r="D1" s="352" t="s">
        <v>111</v>
      </c>
      <c r="E1" s="361" t="s">
        <v>902</v>
      </c>
    </row>
    <row r="2" spans="1:5" x14ac:dyDescent="0.2">
      <c r="A2" s="345">
        <v>0</v>
      </c>
      <c r="B2" s="346" t="s">
        <v>137</v>
      </c>
      <c r="C2" s="346"/>
      <c r="E2" s="348"/>
    </row>
    <row r="3" spans="1:5" s="344" customFormat="1" ht="16.5" x14ac:dyDescent="0.2">
      <c r="A3" s="350"/>
      <c r="B3" s="351" t="s">
        <v>807</v>
      </c>
      <c r="C3" s="351"/>
      <c r="D3" s="352">
        <v>0</v>
      </c>
      <c r="E3" s="353">
        <v>0</v>
      </c>
    </row>
    <row r="4" spans="1:5" s="344" customFormat="1" ht="16.5" x14ac:dyDescent="0.2">
      <c r="A4" s="341">
        <v>1</v>
      </c>
      <c r="B4" s="354" t="s">
        <v>887</v>
      </c>
      <c r="C4" s="354" t="s">
        <v>895</v>
      </c>
      <c r="D4" s="355">
        <v>81</v>
      </c>
      <c r="E4" s="356" t="s">
        <v>904</v>
      </c>
    </row>
    <row r="5" spans="1:5" s="344" customFormat="1" ht="16.5" x14ac:dyDescent="0.2">
      <c r="A5" s="341">
        <v>2</v>
      </c>
      <c r="B5" s="354" t="s">
        <v>888</v>
      </c>
      <c r="C5" s="354" t="s">
        <v>895</v>
      </c>
      <c r="D5" s="355">
        <v>81</v>
      </c>
      <c r="E5" s="356" t="s">
        <v>630</v>
      </c>
    </row>
    <row r="6" spans="1:5" s="344" customFormat="1" ht="16.5" x14ac:dyDescent="0.2">
      <c r="A6" s="341">
        <v>3</v>
      </c>
      <c r="B6" s="354" t="s">
        <v>808</v>
      </c>
      <c r="C6" s="354" t="s">
        <v>894</v>
      </c>
      <c r="D6" s="355">
        <v>81</v>
      </c>
      <c r="E6" s="356">
        <v>3</v>
      </c>
    </row>
    <row r="7" spans="1:5" s="344" customFormat="1" ht="16.5" x14ac:dyDescent="0.2">
      <c r="A7" s="341">
        <v>4</v>
      </c>
      <c r="B7" s="354" t="s">
        <v>889</v>
      </c>
      <c r="C7" s="354" t="s">
        <v>895</v>
      </c>
      <c r="D7" s="355">
        <v>81</v>
      </c>
      <c r="E7" s="356" t="s">
        <v>919</v>
      </c>
    </row>
    <row r="8" spans="1:5" s="344" customFormat="1" ht="16.5" x14ac:dyDescent="0.2">
      <c r="A8" s="341">
        <v>5</v>
      </c>
      <c r="B8" s="354" t="s">
        <v>890</v>
      </c>
      <c r="C8" s="354" t="s">
        <v>895</v>
      </c>
      <c r="D8" s="355">
        <v>81</v>
      </c>
      <c r="E8" s="356" t="s">
        <v>919</v>
      </c>
    </row>
    <row r="9" spans="1:5" s="344" customFormat="1" ht="16.5" x14ac:dyDescent="0.2">
      <c r="A9" s="341">
        <v>6</v>
      </c>
      <c r="B9" s="354" t="s">
        <v>891</v>
      </c>
      <c r="C9" s="354" t="s">
        <v>895</v>
      </c>
      <c r="D9" s="355">
        <v>81</v>
      </c>
      <c r="E9" s="356" t="s">
        <v>920</v>
      </c>
    </row>
    <row r="10" spans="1:5" s="344" customFormat="1" ht="16.5" x14ac:dyDescent="0.2">
      <c r="A10" s="341">
        <v>7</v>
      </c>
      <c r="B10" s="354" t="s">
        <v>809</v>
      </c>
      <c r="C10" s="354" t="s">
        <v>894</v>
      </c>
      <c r="D10" s="355">
        <v>81</v>
      </c>
      <c r="E10" s="356">
        <v>7</v>
      </c>
    </row>
    <row r="11" spans="1:5" s="344" customFormat="1" ht="16.5" customHeight="1" x14ac:dyDescent="0.2">
      <c r="A11" s="341">
        <v>8</v>
      </c>
      <c r="B11" s="354" t="s">
        <v>810</v>
      </c>
      <c r="C11" s="354" t="s">
        <v>895</v>
      </c>
      <c r="D11" s="355">
        <v>79</v>
      </c>
      <c r="E11" s="356" t="s">
        <v>635</v>
      </c>
    </row>
    <row r="12" spans="1:5" s="344" customFormat="1" ht="16.5" x14ac:dyDescent="0.2">
      <c r="A12" s="341">
        <v>9</v>
      </c>
      <c r="B12" s="354" t="s">
        <v>892</v>
      </c>
      <c r="C12" s="354" t="s">
        <v>895</v>
      </c>
      <c r="D12" s="355">
        <v>81</v>
      </c>
      <c r="E12" s="356" t="s">
        <v>637</v>
      </c>
    </row>
    <row r="13" spans="1:5" s="344" customFormat="1" ht="16.5" x14ac:dyDescent="0.2">
      <c r="A13" s="341">
        <v>10</v>
      </c>
      <c r="B13" s="354" t="s">
        <v>893</v>
      </c>
      <c r="C13" s="354" t="s">
        <v>895</v>
      </c>
      <c r="D13" s="355">
        <v>81</v>
      </c>
      <c r="E13" s="356" t="s">
        <v>498</v>
      </c>
    </row>
    <row r="14" spans="1:5" s="344" customFormat="1" ht="16.5" x14ac:dyDescent="0.2">
      <c r="A14" s="341">
        <v>11</v>
      </c>
      <c r="B14" s="354" t="s">
        <v>811</v>
      </c>
      <c r="C14" s="354" t="s">
        <v>894</v>
      </c>
      <c r="D14" s="355">
        <v>81</v>
      </c>
      <c r="E14" s="356" t="s">
        <v>1098</v>
      </c>
    </row>
    <row r="15" spans="1:5" s="344" customFormat="1" ht="16.5" x14ac:dyDescent="0.2">
      <c r="A15" s="341">
        <v>12</v>
      </c>
      <c r="B15" s="354" t="s">
        <v>1099</v>
      </c>
      <c r="C15" s="354" t="s">
        <v>895</v>
      </c>
      <c r="D15" s="355">
        <v>81</v>
      </c>
      <c r="E15" s="356" t="s">
        <v>903</v>
      </c>
    </row>
    <row r="16" spans="1:5" s="344" customFormat="1" ht="16.5" x14ac:dyDescent="0.2">
      <c r="A16" s="341">
        <v>13</v>
      </c>
      <c r="B16" s="354" t="s">
        <v>812</v>
      </c>
      <c r="C16" s="354" t="s">
        <v>894</v>
      </c>
      <c r="D16" s="355">
        <v>79</v>
      </c>
      <c r="E16" s="357">
        <v>50</v>
      </c>
    </row>
    <row r="17" spans="1:5" s="344" customFormat="1" ht="16.5" x14ac:dyDescent="0.2">
      <c r="A17" s="341"/>
      <c r="B17" s="358"/>
      <c r="C17" s="358"/>
      <c r="D17" s="342"/>
      <c r="E17" s="343"/>
    </row>
    <row r="18" spans="1:5" s="344" customFormat="1" ht="16.5" x14ac:dyDescent="0.2">
      <c r="A18" s="359"/>
      <c r="B18" s="360" t="s">
        <v>848</v>
      </c>
      <c r="C18" s="360"/>
      <c r="D18" s="352"/>
      <c r="E18" s="361"/>
    </row>
    <row r="19" spans="1:5" s="344" customFormat="1" ht="16.5" x14ac:dyDescent="0.2">
      <c r="A19" s="341">
        <v>101</v>
      </c>
      <c r="B19" s="354" t="s">
        <v>917</v>
      </c>
      <c r="C19" s="354" t="s">
        <v>895</v>
      </c>
      <c r="D19" s="355">
        <v>78</v>
      </c>
      <c r="E19" s="357">
        <v>4</v>
      </c>
    </row>
    <row r="20" spans="1:5" s="344" customFormat="1" ht="16.5" x14ac:dyDescent="0.2">
      <c r="A20" s="341">
        <v>102</v>
      </c>
      <c r="B20" s="354" t="s">
        <v>908</v>
      </c>
      <c r="C20" s="354" t="s">
        <v>895</v>
      </c>
      <c r="D20" s="355">
        <v>77</v>
      </c>
      <c r="E20" s="357">
        <v>4</v>
      </c>
    </row>
    <row r="21" spans="1:5" s="344" customFormat="1" ht="16.5" x14ac:dyDescent="0.2">
      <c r="A21" s="341">
        <v>103</v>
      </c>
      <c r="B21" s="354" t="s">
        <v>909</v>
      </c>
      <c r="C21" s="354" t="s">
        <v>895</v>
      </c>
      <c r="D21" s="355">
        <v>74</v>
      </c>
      <c r="E21" s="357">
        <v>25</v>
      </c>
    </row>
    <row r="22" spans="1:5" s="344" customFormat="1" ht="16.5" x14ac:dyDescent="0.2">
      <c r="A22" s="341">
        <v>104</v>
      </c>
      <c r="B22" s="354" t="s">
        <v>907</v>
      </c>
      <c r="C22" s="354" t="s">
        <v>895</v>
      </c>
      <c r="D22" s="355">
        <v>74</v>
      </c>
      <c r="E22" s="357">
        <v>25</v>
      </c>
    </row>
    <row r="23" spans="1:5" s="344" customFormat="1" ht="16.5" x14ac:dyDescent="0.2">
      <c r="A23" s="341">
        <v>105</v>
      </c>
      <c r="B23" s="354" t="s">
        <v>911</v>
      </c>
      <c r="C23" s="354" t="s">
        <v>895</v>
      </c>
      <c r="D23" s="355">
        <v>74</v>
      </c>
      <c r="E23" s="357">
        <v>35</v>
      </c>
    </row>
    <row r="24" spans="1:5" s="344" customFormat="1" ht="16.5" x14ac:dyDescent="0.2">
      <c r="A24" s="341">
        <v>106</v>
      </c>
      <c r="B24" s="354" t="s">
        <v>910</v>
      </c>
      <c r="C24" s="354" t="s">
        <v>895</v>
      </c>
      <c r="D24" s="355">
        <v>74</v>
      </c>
      <c r="E24" s="357">
        <v>40</v>
      </c>
    </row>
    <row r="25" spans="1:5" s="344" customFormat="1" ht="16.5" x14ac:dyDescent="0.2">
      <c r="A25" s="341">
        <v>107</v>
      </c>
      <c r="B25" s="354" t="s">
        <v>910</v>
      </c>
      <c r="C25" s="354" t="s">
        <v>895</v>
      </c>
      <c r="D25" s="355">
        <v>74</v>
      </c>
      <c r="E25" s="357">
        <v>45</v>
      </c>
    </row>
    <row r="26" spans="1:5" s="344" customFormat="1" ht="16.5" x14ac:dyDescent="0.2">
      <c r="A26" s="341">
        <v>108</v>
      </c>
      <c r="B26" s="354" t="s">
        <v>912</v>
      </c>
      <c r="C26" s="354" t="s">
        <v>895</v>
      </c>
      <c r="D26" s="355">
        <v>74</v>
      </c>
      <c r="E26" s="357">
        <v>45</v>
      </c>
    </row>
    <row r="27" spans="1:5" s="344" customFormat="1" ht="16.5" x14ac:dyDescent="0.2">
      <c r="A27" s="341">
        <v>109</v>
      </c>
      <c r="B27" s="354" t="s">
        <v>913</v>
      </c>
      <c r="C27" s="354" t="s">
        <v>895</v>
      </c>
      <c r="D27" s="355">
        <v>74</v>
      </c>
      <c r="E27" s="357">
        <v>60</v>
      </c>
    </row>
    <row r="28" spans="1:5" s="344" customFormat="1" ht="16.5" x14ac:dyDescent="0.2">
      <c r="A28" s="341">
        <v>110</v>
      </c>
      <c r="B28" s="354" t="s">
        <v>112</v>
      </c>
      <c r="C28" s="354" t="s">
        <v>894</v>
      </c>
      <c r="D28" s="355">
        <v>74</v>
      </c>
      <c r="E28" s="357">
        <v>120</v>
      </c>
    </row>
    <row r="29" spans="1:5" s="344" customFormat="1" ht="16.5" x14ac:dyDescent="0.2">
      <c r="A29" s="341">
        <v>111</v>
      </c>
      <c r="B29" s="354" t="s">
        <v>914</v>
      </c>
      <c r="C29" s="354" t="s">
        <v>895</v>
      </c>
      <c r="D29" s="355">
        <v>74</v>
      </c>
      <c r="E29" s="357">
        <v>120</v>
      </c>
    </row>
    <row r="30" spans="1:5" s="344" customFormat="1" ht="16.5" x14ac:dyDescent="0.2">
      <c r="A30" s="341">
        <v>112</v>
      </c>
      <c r="B30" s="354" t="s">
        <v>915</v>
      </c>
      <c r="C30" s="354" t="s">
        <v>895</v>
      </c>
      <c r="D30" s="355">
        <v>74</v>
      </c>
      <c r="E30" s="357">
        <v>120</v>
      </c>
    </row>
    <row r="31" spans="1:5" s="344" customFormat="1" ht="16.5" x14ac:dyDescent="0.2">
      <c r="A31" s="341">
        <v>113</v>
      </c>
      <c r="B31" s="354" t="s">
        <v>126</v>
      </c>
      <c r="C31" s="354" t="s">
        <v>894</v>
      </c>
      <c r="D31" s="355">
        <v>77</v>
      </c>
      <c r="E31" s="357">
        <v>150</v>
      </c>
    </row>
    <row r="32" spans="1:5" s="344" customFormat="1" ht="16.5" x14ac:dyDescent="0.2">
      <c r="A32" s="341">
        <v>114</v>
      </c>
      <c r="B32" s="354" t="s">
        <v>813</v>
      </c>
      <c r="C32" s="354" t="s">
        <v>894</v>
      </c>
      <c r="D32" s="355">
        <v>74</v>
      </c>
      <c r="E32" s="357">
        <v>350</v>
      </c>
    </row>
    <row r="33" spans="1:5" s="344" customFormat="1" ht="16.5" x14ac:dyDescent="0.2">
      <c r="A33" s="341">
        <v>115</v>
      </c>
      <c r="B33" s="354" t="s">
        <v>916</v>
      </c>
      <c r="C33" s="354" t="s">
        <v>895</v>
      </c>
      <c r="D33" s="355">
        <v>77</v>
      </c>
      <c r="E33" s="357">
        <v>400</v>
      </c>
    </row>
    <row r="34" spans="1:5" s="344" customFormat="1" ht="16.5" x14ac:dyDescent="0.2">
      <c r="A34" s="341"/>
      <c r="B34" s="354"/>
      <c r="C34" s="354"/>
      <c r="D34" s="355"/>
      <c r="E34" s="357"/>
    </row>
    <row r="35" spans="1:5" s="344" customFormat="1" ht="16.5" x14ac:dyDescent="0.2">
      <c r="A35" s="350"/>
      <c r="B35" s="351" t="s">
        <v>814</v>
      </c>
      <c r="C35" s="351"/>
      <c r="D35" s="352"/>
      <c r="E35" s="361"/>
    </row>
    <row r="36" spans="1:5" s="362" customFormat="1" ht="16.5" x14ac:dyDescent="0.2">
      <c r="A36" s="341">
        <v>201</v>
      </c>
      <c r="B36" s="354" t="s">
        <v>815</v>
      </c>
      <c r="C36" s="354"/>
      <c r="D36" s="355">
        <v>78</v>
      </c>
      <c r="E36" s="357">
        <v>50</v>
      </c>
    </row>
    <row r="37" spans="1:5" s="362" customFormat="1" ht="16.5" x14ac:dyDescent="0.2">
      <c r="A37" s="341">
        <v>202</v>
      </c>
      <c r="B37" s="354" t="s">
        <v>835</v>
      </c>
      <c r="C37" s="354"/>
      <c r="D37" s="355">
        <v>79</v>
      </c>
      <c r="E37" s="357">
        <v>800</v>
      </c>
    </row>
    <row r="38" spans="1:5" s="362" customFormat="1" ht="16.5" x14ac:dyDescent="0.2">
      <c r="A38" s="341">
        <v>203</v>
      </c>
      <c r="B38" s="354" t="s">
        <v>900</v>
      </c>
      <c r="C38" s="354" t="s">
        <v>895</v>
      </c>
      <c r="D38" s="355">
        <v>79</v>
      </c>
      <c r="E38" s="357">
        <v>800</v>
      </c>
    </row>
    <row r="39" spans="1:5" s="362" customFormat="1" ht="16.5" x14ac:dyDescent="0.2">
      <c r="A39" s="341">
        <v>204</v>
      </c>
      <c r="B39" s="354" t="s">
        <v>836</v>
      </c>
      <c r="C39" s="354" t="s">
        <v>894</v>
      </c>
      <c r="D39" s="355">
        <v>77.5</v>
      </c>
      <c r="E39" s="357">
        <v>900</v>
      </c>
    </row>
    <row r="40" spans="1:5" s="362" customFormat="1" ht="16.5" x14ac:dyDescent="0.2">
      <c r="A40" s="341">
        <v>205</v>
      </c>
      <c r="B40" s="354" t="s">
        <v>898</v>
      </c>
      <c r="C40" s="354" t="s">
        <v>895</v>
      </c>
      <c r="D40" s="355" t="s">
        <v>905</v>
      </c>
      <c r="E40" s="357">
        <v>900</v>
      </c>
    </row>
    <row r="41" spans="1:5" s="362" customFormat="1" ht="16.5" x14ac:dyDescent="0.2">
      <c r="A41" s="341">
        <v>206</v>
      </c>
      <c r="B41" s="354" t="s">
        <v>899</v>
      </c>
      <c r="C41" s="354" t="s">
        <v>895</v>
      </c>
      <c r="D41" s="355">
        <v>80</v>
      </c>
      <c r="E41" s="357">
        <v>1100</v>
      </c>
    </row>
    <row r="42" spans="1:5" s="362" customFormat="1" ht="16.5" x14ac:dyDescent="0.2">
      <c r="A42" s="341">
        <v>207</v>
      </c>
      <c r="B42" s="354" t="s">
        <v>816</v>
      </c>
      <c r="C42" s="354"/>
      <c r="D42" s="355">
        <v>80.5</v>
      </c>
      <c r="E42" s="357">
        <v>1200</v>
      </c>
    </row>
    <row r="43" spans="1:5" s="362" customFormat="1" ht="16.5" x14ac:dyDescent="0.2">
      <c r="A43" s="341">
        <v>208</v>
      </c>
      <c r="B43" s="354" t="s">
        <v>817</v>
      </c>
      <c r="C43" s="354" t="s">
        <v>894</v>
      </c>
      <c r="D43" s="355">
        <v>77</v>
      </c>
      <c r="E43" s="357">
        <v>1400</v>
      </c>
    </row>
    <row r="44" spans="1:5" s="362" customFormat="1" ht="16.5" x14ac:dyDescent="0.2">
      <c r="A44" s="341">
        <v>209</v>
      </c>
      <c r="B44" s="354" t="s">
        <v>901</v>
      </c>
      <c r="C44" s="354" t="s">
        <v>895</v>
      </c>
      <c r="D44" s="355">
        <v>77</v>
      </c>
      <c r="E44" s="357">
        <v>1400</v>
      </c>
    </row>
    <row r="45" spans="1:5" s="362" customFormat="1" ht="16.5" x14ac:dyDescent="0.2">
      <c r="A45" s="341"/>
      <c r="B45" s="354"/>
      <c r="C45" s="354"/>
      <c r="D45" s="355"/>
      <c r="E45" s="357"/>
    </row>
    <row r="46" spans="1:5" s="344" customFormat="1" ht="16.5" x14ac:dyDescent="0.2">
      <c r="A46" s="350"/>
      <c r="B46" s="351" t="s">
        <v>818</v>
      </c>
      <c r="C46" s="351"/>
      <c r="D46" s="352"/>
      <c r="E46" s="361"/>
    </row>
    <row r="47" spans="1:5" s="362" customFormat="1" ht="16.5" x14ac:dyDescent="0.2">
      <c r="A47" s="341">
        <v>301</v>
      </c>
      <c r="B47" s="354" t="s">
        <v>819</v>
      </c>
      <c r="C47" s="354" t="s">
        <v>894</v>
      </c>
      <c r="D47" s="355">
        <v>80</v>
      </c>
      <c r="E47" s="356">
        <v>3</v>
      </c>
    </row>
    <row r="48" spans="1:5" s="362" customFormat="1" ht="16.5" x14ac:dyDescent="0.2">
      <c r="A48" s="341">
        <v>302</v>
      </c>
      <c r="B48" s="354" t="s">
        <v>896</v>
      </c>
      <c r="C48" s="354" t="s">
        <v>895</v>
      </c>
      <c r="D48" s="355">
        <v>80</v>
      </c>
      <c r="E48" s="356" t="s">
        <v>630</v>
      </c>
    </row>
    <row r="49" spans="1:5" s="362" customFormat="1" ht="16.5" x14ac:dyDescent="0.2">
      <c r="A49" s="341">
        <v>303</v>
      </c>
      <c r="B49" s="354" t="s">
        <v>897</v>
      </c>
      <c r="C49" s="354" t="s">
        <v>895</v>
      </c>
      <c r="D49" s="355">
        <v>80</v>
      </c>
      <c r="E49" s="356" t="s">
        <v>631</v>
      </c>
    </row>
    <row r="50" spans="1:5" s="362" customFormat="1" ht="16.5" x14ac:dyDescent="0.2">
      <c r="A50" s="341">
        <v>304</v>
      </c>
      <c r="B50" s="354" t="s">
        <v>820</v>
      </c>
      <c r="C50" s="354" t="s">
        <v>895</v>
      </c>
      <c r="D50" s="355">
        <v>79.5</v>
      </c>
      <c r="E50" s="356">
        <v>15</v>
      </c>
    </row>
    <row r="51" spans="1:5" s="362" customFormat="1" ht="16.5" x14ac:dyDescent="0.2">
      <c r="A51" s="341">
        <v>305</v>
      </c>
      <c r="B51" s="354" t="s">
        <v>821</v>
      </c>
      <c r="C51" s="354" t="s">
        <v>894</v>
      </c>
      <c r="D51" s="355">
        <v>79.5</v>
      </c>
      <c r="E51" s="356">
        <v>900</v>
      </c>
    </row>
    <row r="52" spans="1:5" s="362" customFormat="1" ht="16.5" x14ac:dyDescent="0.2">
      <c r="A52" s="341"/>
      <c r="B52" s="354"/>
      <c r="C52" s="354"/>
      <c r="D52" s="355"/>
      <c r="E52" s="356"/>
    </row>
    <row r="53" spans="1:5" s="344" customFormat="1" ht="16.5" x14ac:dyDescent="0.2">
      <c r="A53" s="350"/>
      <c r="B53" s="351" t="s">
        <v>822</v>
      </c>
      <c r="C53" s="351"/>
      <c r="D53" s="352"/>
      <c r="E53" s="361"/>
    </row>
    <row r="54" spans="1:5" s="362" customFormat="1" ht="16.5" x14ac:dyDescent="0.2">
      <c r="A54" s="341">
        <v>401</v>
      </c>
      <c r="B54" s="354" t="s">
        <v>824</v>
      </c>
      <c r="C54" s="354" t="s">
        <v>895</v>
      </c>
      <c r="D54" s="355">
        <v>80</v>
      </c>
      <c r="E54" s="357">
        <v>5</v>
      </c>
    </row>
    <row r="55" spans="1:5" s="362" customFormat="1" ht="16.5" x14ac:dyDescent="0.2">
      <c r="A55" s="341">
        <v>402</v>
      </c>
      <c r="B55" s="354" t="s">
        <v>823</v>
      </c>
      <c r="C55" s="354" t="s">
        <v>895</v>
      </c>
      <c r="D55" s="355">
        <v>78</v>
      </c>
      <c r="E55" s="357">
        <v>6</v>
      </c>
    </row>
    <row r="56" spans="1:5" s="362" customFormat="1" ht="16.5" x14ac:dyDescent="0.2">
      <c r="A56" s="341">
        <v>403</v>
      </c>
      <c r="B56" s="354" t="s">
        <v>825</v>
      </c>
      <c r="C56" s="354" t="s">
        <v>895</v>
      </c>
      <c r="D56" s="355">
        <v>85</v>
      </c>
      <c r="E56" s="357">
        <v>6</v>
      </c>
    </row>
    <row r="57" spans="1:5" s="362" customFormat="1" ht="16.5" x14ac:dyDescent="0.3">
      <c r="A57" s="341">
        <v>404</v>
      </c>
      <c r="B57" s="363" t="s">
        <v>906</v>
      </c>
      <c r="C57" s="354" t="s">
        <v>895</v>
      </c>
      <c r="D57" s="355"/>
      <c r="E57" s="357">
        <v>45</v>
      </c>
    </row>
    <row r="58" spans="1:5" s="362" customFormat="1" ht="19.5" x14ac:dyDescent="0.4">
      <c r="A58" s="341">
        <v>405</v>
      </c>
      <c r="B58" s="363" t="s">
        <v>847</v>
      </c>
      <c r="C58" s="354" t="s">
        <v>895</v>
      </c>
      <c r="D58" s="355">
        <v>80</v>
      </c>
      <c r="E58" s="357">
        <v>70</v>
      </c>
    </row>
    <row r="59" spans="1:5" s="362" customFormat="1" ht="16.5" x14ac:dyDescent="0.2">
      <c r="A59" s="341">
        <v>406</v>
      </c>
      <c r="B59" s="354" t="s">
        <v>113</v>
      </c>
      <c r="C59" s="354" t="s">
        <v>894</v>
      </c>
      <c r="D59" s="355"/>
      <c r="E59" s="357">
        <v>1000</v>
      </c>
    </row>
    <row r="60" spans="1:5" s="362" customFormat="1" ht="16.5" x14ac:dyDescent="0.2">
      <c r="A60" s="341">
        <v>407</v>
      </c>
      <c r="B60" s="354" t="s">
        <v>826</v>
      </c>
      <c r="C60" s="354" t="s">
        <v>895</v>
      </c>
      <c r="D60" s="355">
        <v>83</v>
      </c>
      <c r="E60" s="357">
        <v>6</v>
      </c>
    </row>
    <row r="61" spans="1:5" s="362" customFormat="1" ht="16.5" x14ac:dyDescent="0.2">
      <c r="A61" s="341">
        <v>408</v>
      </c>
      <c r="B61" s="354" t="s">
        <v>827</v>
      </c>
      <c r="C61" s="354" t="s">
        <v>894</v>
      </c>
      <c r="D61" s="355"/>
      <c r="E61" s="357"/>
    </row>
    <row r="62" spans="1:5" s="362" customFormat="1" ht="16.5" x14ac:dyDescent="0.3">
      <c r="A62" s="341">
        <v>409</v>
      </c>
      <c r="B62" s="363" t="s">
        <v>815</v>
      </c>
      <c r="C62" s="354" t="s">
        <v>894</v>
      </c>
      <c r="D62" s="355">
        <v>80</v>
      </c>
      <c r="E62" s="357"/>
    </row>
    <row r="63" spans="1:5" s="362" customFormat="1" ht="16.5" x14ac:dyDescent="0.3">
      <c r="A63" s="341">
        <v>410</v>
      </c>
      <c r="B63" s="363" t="s">
        <v>918</v>
      </c>
      <c r="C63" s="354" t="s">
        <v>895</v>
      </c>
      <c r="D63" s="355">
        <v>83</v>
      </c>
      <c r="E63" s="357">
        <v>6</v>
      </c>
    </row>
    <row r="64" spans="1:5" s="362" customFormat="1" ht="16.5" x14ac:dyDescent="0.2">
      <c r="A64" s="341"/>
      <c r="B64" s="354"/>
      <c r="C64" s="354"/>
      <c r="D64" s="355"/>
      <c r="E64" s="357"/>
    </row>
    <row r="65" spans="1:5" s="344" customFormat="1" ht="16.5" x14ac:dyDescent="0.2">
      <c r="A65" s="350"/>
      <c r="B65" s="351" t="s">
        <v>828</v>
      </c>
      <c r="C65" s="351"/>
      <c r="D65" s="352"/>
      <c r="E65" s="361"/>
    </row>
    <row r="66" spans="1:5" s="362" customFormat="1" ht="16.5" x14ac:dyDescent="0.2">
      <c r="A66" s="341">
        <v>501</v>
      </c>
      <c r="B66" s="354" t="s">
        <v>829</v>
      </c>
      <c r="C66" s="354" t="s">
        <v>894</v>
      </c>
      <c r="D66" s="355">
        <v>99</v>
      </c>
      <c r="E66" s="357"/>
    </row>
    <row r="67" spans="1:5" s="362" customFormat="1" ht="16.5" x14ac:dyDescent="0.2">
      <c r="A67" s="341">
        <v>502</v>
      </c>
      <c r="B67" s="354" t="s">
        <v>830</v>
      </c>
      <c r="C67" s="354" t="s">
        <v>894</v>
      </c>
      <c r="D67" s="355">
        <v>81</v>
      </c>
      <c r="E67" s="357"/>
    </row>
    <row r="68" spans="1:5" s="362" customFormat="1" ht="16.5" x14ac:dyDescent="0.2">
      <c r="A68" s="341">
        <v>503</v>
      </c>
      <c r="B68" s="354" t="s">
        <v>831</v>
      </c>
      <c r="C68" s="354" t="s">
        <v>894</v>
      </c>
      <c r="D68" s="355">
        <v>76</v>
      </c>
      <c r="E68" s="357"/>
    </row>
    <row r="69" spans="1:5" s="362" customFormat="1" ht="16.5" x14ac:dyDescent="0.2">
      <c r="A69" s="341">
        <v>504</v>
      </c>
      <c r="B69" s="354" t="s">
        <v>832</v>
      </c>
      <c r="C69" s="354" t="s">
        <v>894</v>
      </c>
      <c r="D69" s="355">
        <v>79</v>
      </c>
      <c r="E69" s="357"/>
    </row>
    <row r="70" spans="1:5" s="362" customFormat="1" ht="16.5" x14ac:dyDescent="0.2">
      <c r="A70" s="341">
        <v>505</v>
      </c>
      <c r="B70" s="354" t="s">
        <v>833</v>
      </c>
      <c r="C70" s="354" t="s">
        <v>894</v>
      </c>
      <c r="D70" s="355">
        <v>90</v>
      </c>
      <c r="E70" s="357"/>
    </row>
    <row r="71" spans="1:5" s="362" customFormat="1" ht="16.5" x14ac:dyDescent="0.2">
      <c r="A71" s="341"/>
      <c r="B71" s="354"/>
      <c r="C71" s="354"/>
      <c r="D71" s="355"/>
      <c r="E71" s="357"/>
    </row>
    <row r="72" spans="1:5" s="344" customFormat="1" ht="16.5" x14ac:dyDescent="0.2">
      <c r="A72" s="350"/>
      <c r="B72" s="351" t="s">
        <v>834</v>
      </c>
      <c r="C72" s="351"/>
      <c r="D72" s="352"/>
      <c r="E72" s="361"/>
    </row>
    <row r="73" spans="1:5" s="362" customFormat="1" ht="16.5" x14ac:dyDescent="0.2">
      <c r="A73" s="341">
        <v>601</v>
      </c>
      <c r="B73" s="354" t="s">
        <v>838</v>
      </c>
      <c r="C73" s="354" t="s">
        <v>894</v>
      </c>
      <c r="D73" s="355">
        <v>75</v>
      </c>
      <c r="E73" s="357">
        <v>8</v>
      </c>
    </row>
    <row r="74" spans="1:5" s="362" customFormat="1" ht="16.5" x14ac:dyDescent="0.2">
      <c r="A74" s="341">
        <v>602</v>
      </c>
      <c r="B74" s="354" t="s">
        <v>842</v>
      </c>
      <c r="C74" s="354" t="s">
        <v>894</v>
      </c>
      <c r="D74" s="355">
        <v>75</v>
      </c>
      <c r="E74" s="357">
        <v>8</v>
      </c>
    </row>
    <row r="75" spans="1:5" s="362" customFormat="1" ht="16.5" x14ac:dyDescent="0.2">
      <c r="A75" s="341">
        <v>603</v>
      </c>
      <c r="B75" s="354" t="s">
        <v>839</v>
      </c>
      <c r="C75" s="354" t="s">
        <v>894</v>
      </c>
      <c r="D75" s="355">
        <v>75</v>
      </c>
      <c r="E75" s="357">
        <v>18</v>
      </c>
    </row>
    <row r="76" spans="1:5" s="362" customFormat="1" ht="16.5" x14ac:dyDescent="0.2">
      <c r="A76" s="341">
        <v>604</v>
      </c>
      <c r="B76" s="354" t="s">
        <v>840</v>
      </c>
      <c r="C76" s="354" t="s">
        <v>894</v>
      </c>
      <c r="D76" s="355">
        <v>75</v>
      </c>
      <c r="E76" s="357">
        <v>57</v>
      </c>
    </row>
    <row r="77" spans="1:5" s="362" customFormat="1" ht="16.5" x14ac:dyDescent="0.2">
      <c r="A77" s="341">
        <v>605</v>
      </c>
      <c r="B77" s="354" t="s">
        <v>841</v>
      </c>
      <c r="C77" s="354" t="s">
        <v>894</v>
      </c>
      <c r="D77" s="355">
        <v>75</v>
      </c>
      <c r="E77" s="357">
        <v>95</v>
      </c>
    </row>
    <row r="78" spans="1:5" s="344" customFormat="1" ht="16.5" x14ac:dyDescent="0.2">
      <c r="A78" s="341"/>
      <c r="B78" s="358"/>
      <c r="C78" s="358"/>
      <c r="D78" s="342"/>
      <c r="E78" s="343"/>
    </row>
    <row r="79" spans="1:5" s="344" customFormat="1" ht="16.5" x14ac:dyDescent="0.2">
      <c r="A79" s="350"/>
      <c r="B79" s="351" t="s">
        <v>837</v>
      </c>
      <c r="C79" s="351"/>
      <c r="D79" s="352"/>
      <c r="E79" s="361"/>
    </row>
    <row r="80" spans="1:5" s="362" customFormat="1" ht="16.5" x14ac:dyDescent="0.2">
      <c r="A80" s="341">
        <v>701</v>
      </c>
      <c r="B80" s="354" t="s">
        <v>846</v>
      </c>
      <c r="C80" s="354" t="s">
        <v>894</v>
      </c>
      <c r="D80" s="355">
        <v>74</v>
      </c>
      <c r="E80" s="357">
        <v>8</v>
      </c>
    </row>
    <row r="81" spans="1:5" s="362" customFormat="1" ht="16.5" x14ac:dyDescent="0.2">
      <c r="A81" s="341">
        <v>702</v>
      </c>
      <c r="B81" s="354" t="s">
        <v>843</v>
      </c>
      <c r="C81" s="354" t="s">
        <v>894</v>
      </c>
      <c r="D81" s="355">
        <v>74</v>
      </c>
      <c r="E81" s="357">
        <v>10</v>
      </c>
    </row>
    <row r="82" spans="1:5" s="362" customFormat="1" ht="16.5" x14ac:dyDescent="0.2">
      <c r="A82" s="341">
        <v>703</v>
      </c>
      <c r="B82" s="354" t="s">
        <v>844</v>
      </c>
      <c r="C82" s="354" t="s">
        <v>894</v>
      </c>
      <c r="D82" s="355">
        <v>74</v>
      </c>
      <c r="E82" s="357">
        <v>18</v>
      </c>
    </row>
    <row r="83" spans="1:5" s="362" customFormat="1" ht="16.5" x14ac:dyDescent="0.2">
      <c r="A83" s="341">
        <v>704</v>
      </c>
      <c r="B83" s="354" t="s">
        <v>845</v>
      </c>
      <c r="C83" s="354" t="s">
        <v>894</v>
      </c>
      <c r="D83" s="355">
        <v>74</v>
      </c>
      <c r="E83" s="357">
        <v>55</v>
      </c>
    </row>
    <row r="84" spans="1:5" s="344" customFormat="1" ht="16.5" x14ac:dyDescent="0.2">
      <c r="A84" s="341"/>
      <c r="B84" s="358"/>
      <c r="C84" s="358"/>
      <c r="D84" s="342"/>
      <c r="E84" s="343"/>
    </row>
    <row r="85" spans="1:5" s="344" customFormat="1" ht="16.5" x14ac:dyDescent="0.2">
      <c r="A85" s="341"/>
      <c r="B85" s="358"/>
      <c r="C85" s="358"/>
      <c r="D85" s="342"/>
      <c r="E85" s="343"/>
    </row>
    <row r="86" spans="1:5" s="344" customFormat="1" ht="16.5" x14ac:dyDescent="0.2">
      <c r="A86" s="341"/>
      <c r="B86" s="358"/>
      <c r="C86" s="358"/>
      <c r="D86" s="342"/>
      <c r="E86" s="343"/>
    </row>
    <row r="87" spans="1:5" s="344" customFormat="1" ht="16.5" x14ac:dyDescent="0.2">
      <c r="A87" s="341"/>
      <c r="B87" s="358"/>
      <c r="C87" s="358"/>
      <c r="D87" s="342"/>
      <c r="E87" s="343"/>
    </row>
    <row r="88" spans="1:5" s="344" customFormat="1" ht="16.5" x14ac:dyDescent="0.2">
      <c r="A88" s="341"/>
      <c r="B88" s="358"/>
      <c r="C88" s="358"/>
      <c r="D88" s="342"/>
      <c r="E88" s="343"/>
    </row>
    <row r="90" spans="1:5" s="344" customFormat="1" ht="16.5" x14ac:dyDescent="0.2">
      <c r="A90" s="341"/>
      <c r="B90" s="358"/>
      <c r="C90" s="358"/>
      <c r="D90" s="342"/>
      <c r="E90" s="343"/>
    </row>
    <row r="91" spans="1:5" x14ac:dyDescent="0.2">
      <c r="A91" s="346"/>
      <c r="D91" s="349"/>
    </row>
    <row r="92" spans="1:5" x14ac:dyDescent="0.2">
      <c r="A92" s="346"/>
      <c r="D92" s="349"/>
    </row>
    <row r="93" spans="1:5" s="344" customFormat="1" ht="14.25" customHeight="1" x14ac:dyDescent="0.2">
      <c r="A93" s="365"/>
      <c r="E93" s="366"/>
    </row>
    <row r="94" spans="1:5" s="344" customFormat="1" x14ac:dyDescent="0.2">
      <c r="A94" s="365"/>
      <c r="E94" s="366"/>
    </row>
    <row r="95" spans="1:5" s="344" customFormat="1" x14ac:dyDescent="0.2">
      <c r="A95" s="365"/>
      <c r="E95" s="366"/>
    </row>
    <row r="96" spans="1:5" s="344" customFormat="1" x14ac:dyDescent="0.2">
      <c r="A96" s="365"/>
      <c r="E96" s="366"/>
    </row>
    <row r="97" spans="1:5" s="344" customFormat="1" x14ac:dyDescent="0.2">
      <c r="A97" s="365"/>
      <c r="E97" s="366"/>
    </row>
    <row r="98" spans="1:5" x14ac:dyDescent="0.2">
      <c r="A98" s="346"/>
      <c r="D98" s="349"/>
    </row>
    <row r="99" spans="1:5" x14ac:dyDescent="0.2">
      <c r="A99" s="346"/>
      <c r="D99" s="349"/>
    </row>
    <row r="100" spans="1:5" x14ac:dyDescent="0.2">
      <c r="A100" s="346"/>
      <c r="D100" s="349"/>
    </row>
    <row r="101" spans="1:5" x14ac:dyDescent="0.2">
      <c r="A101" s="346"/>
      <c r="D101" s="349"/>
    </row>
    <row r="102" spans="1:5" x14ac:dyDescent="0.2">
      <c r="A102" s="346"/>
      <c r="D102" s="349"/>
    </row>
    <row r="103" spans="1:5" x14ac:dyDescent="0.2">
      <c r="A103" s="346"/>
      <c r="D103" s="349"/>
    </row>
    <row r="104" spans="1:5" x14ac:dyDescent="0.2">
      <c r="A104" s="346"/>
      <c r="D104" s="349"/>
    </row>
    <row r="105" spans="1:5" x14ac:dyDescent="0.2">
      <c r="A105" s="346"/>
      <c r="D105" s="349"/>
    </row>
    <row r="106" spans="1:5" x14ac:dyDescent="0.2">
      <c r="A106" s="346"/>
      <c r="D106" s="349"/>
    </row>
    <row r="107" spans="1:5" x14ac:dyDescent="0.2">
      <c r="A107" s="346"/>
      <c r="D107" s="349"/>
    </row>
    <row r="108" spans="1:5" x14ac:dyDescent="0.2">
      <c r="A108" s="346"/>
      <c r="D108" s="349"/>
    </row>
    <row r="109" spans="1:5" x14ac:dyDescent="0.2">
      <c r="A109" s="346"/>
      <c r="D109" s="349"/>
    </row>
    <row r="110" spans="1:5" x14ac:dyDescent="0.2">
      <c r="A110" s="346"/>
      <c r="D110" s="349"/>
    </row>
    <row r="111" spans="1:5" x14ac:dyDescent="0.2">
      <c r="A111" s="346"/>
      <c r="D111" s="349"/>
    </row>
    <row r="112" spans="1:5" x14ac:dyDescent="0.2">
      <c r="A112" s="346"/>
      <c r="D112" s="349"/>
    </row>
    <row r="113" spans="1:4" x14ac:dyDescent="0.2">
      <c r="A113" s="346"/>
      <c r="D113" s="349"/>
    </row>
    <row r="114" spans="1:4" x14ac:dyDescent="0.2">
      <c r="A114" s="346"/>
      <c r="D114" s="349"/>
    </row>
    <row r="115" spans="1:4" x14ac:dyDescent="0.2">
      <c r="A115" s="346"/>
      <c r="D115" s="349"/>
    </row>
    <row r="116" spans="1:4" x14ac:dyDescent="0.2">
      <c r="A116" s="346"/>
      <c r="D116" s="349"/>
    </row>
    <row r="117" spans="1:4" x14ac:dyDescent="0.2">
      <c r="A117" s="346"/>
      <c r="D117" s="349"/>
    </row>
    <row r="118" spans="1:4" x14ac:dyDescent="0.2">
      <c r="A118" s="346"/>
      <c r="D118" s="349"/>
    </row>
    <row r="119" spans="1:4" x14ac:dyDescent="0.2">
      <c r="A119" s="346"/>
      <c r="D119" s="349"/>
    </row>
    <row r="120" spans="1:4" x14ac:dyDescent="0.2">
      <c r="A120" s="346"/>
      <c r="D120" s="349"/>
    </row>
    <row r="121" spans="1:4" x14ac:dyDescent="0.2">
      <c r="A121" s="346"/>
      <c r="D121" s="349"/>
    </row>
    <row r="122" spans="1:4" x14ac:dyDescent="0.2">
      <c r="A122" s="346"/>
      <c r="D122" s="349"/>
    </row>
    <row r="123" spans="1:4" x14ac:dyDescent="0.2">
      <c r="A123" s="346"/>
      <c r="D123" s="349"/>
    </row>
    <row r="124" spans="1:4" x14ac:dyDescent="0.2">
      <c r="A124" s="346"/>
      <c r="D124" s="349"/>
    </row>
    <row r="125" spans="1:4" x14ac:dyDescent="0.2">
      <c r="A125" s="346"/>
      <c r="D125" s="349"/>
    </row>
    <row r="126" spans="1:4" x14ac:dyDescent="0.2">
      <c r="A126" s="346"/>
      <c r="D126" s="349"/>
    </row>
    <row r="127" spans="1:4" x14ac:dyDescent="0.2">
      <c r="A127" s="346"/>
      <c r="D127" s="349"/>
    </row>
    <row r="128" spans="1:4" x14ac:dyDescent="0.2">
      <c r="A128" s="346"/>
      <c r="D128" s="349"/>
    </row>
    <row r="129" spans="1:5" x14ac:dyDescent="0.2">
      <c r="A129" s="346"/>
      <c r="D129" s="349"/>
    </row>
    <row r="130" spans="1:5" x14ac:dyDescent="0.2">
      <c r="A130" s="346"/>
      <c r="D130" s="349"/>
    </row>
    <row r="131" spans="1:5" x14ac:dyDescent="0.2">
      <c r="A131" s="346"/>
      <c r="D131" s="349"/>
    </row>
    <row r="132" spans="1:5" x14ac:dyDescent="0.2">
      <c r="A132" s="346"/>
      <c r="D132" s="349"/>
    </row>
    <row r="133" spans="1:5" x14ac:dyDescent="0.2">
      <c r="A133" s="346"/>
      <c r="D133" s="349"/>
    </row>
    <row r="134" spans="1:5" x14ac:dyDescent="0.2">
      <c r="A134" s="346"/>
      <c r="D134" s="349"/>
    </row>
    <row r="135" spans="1:5" x14ac:dyDescent="0.2">
      <c r="A135" s="346"/>
      <c r="D135" s="349"/>
    </row>
    <row r="136" spans="1:5" s="344" customFormat="1" x14ac:dyDescent="0.2">
      <c r="A136" s="365"/>
      <c r="E136" s="366"/>
    </row>
    <row r="137" spans="1:5" ht="16.5" x14ac:dyDescent="0.35">
      <c r="A137" s="367"/>
      <c r="B137" s="368"/>
      <c r="C137" s="368"/>
      <c r="D137" s="369"/>
      <c r="E137" s="370"/>
    </row>
    <row r="139" spans="1:5" ht="16.5" x14ac:dyDescent="0.35">
      <c r="A139" s="367"/>
      <c r="B139" s="368"/>
      <c r="C139" s="368"/>
      <c r="D139" s="369"/>
      <c r="E139" s="371"/>
    </row>
  </sheetData>
  <phoneticPr fontId="0" type="noConversion"/>
  <pageMargins left="0.74803149606299213" right="0.74803149606299213" top="0.78740157480314965" bottom="0.59055118110236227"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E15"/>
  <sheetViews>
    <sheetView showZeros="0" workbookViewId="0">
      <selection activeCell="D15" sqref="D15"/>
    </sheetView>
  </sheetViews>
  <sheetFormatPr defaultRowHeight="12.75" x14ac:dyDescent="0.2"/>
  <cols>
    <col min="1" max="1" width="9.140625" style="119" customWidth="1"/>
    <col min="2" max="2" width="29.140625" customWidth="1"/>
    <col min="4" max="4" width="11" customWidth="1"/>
  </cols>
  <sheetData>
    <row r="1" spans="1:5" ht="49.5" x14ac:dyDescent="0.3">
      <c r="A1" s="113" t="s">
        <v>109</v>
      </c>
      <c r="B1" s="120" t="s">
        <v>114</v>
      </c>
      <c r="C1" s="114" t="s">
        <v>115</v>
      </c>
      <c r="D1" s="115" t="s">
        <v>116</v>
      </c>
      <c r="E1" s="121"/>
    </row>
    <row r="2" spans="1:5" ht="16.5" x14ac:dyDescent="0.3">
      <c r="A2" s="113">
        <v>0</v>
      </c>
      <c r="B2" s="247" t="s">
        <v>117</v>
      </c>
      <c r="C2" s="114">
        <v>0</v>
      </c>
      <c r="D2" s="115">
        <v>0</v>
      </c>
      <c r="E2" s="121"/>
    </row>
    <row r="3" spans="1:5" ht="16.5" x14ac:dyDescent="0.3">
      <c r="A3" s="113">
        <v>1</v>
      </c>
      <c r="B3" s="118" t="s">
        <v>118</v>
      </c>
      <c r="C3" s="117">
        <v>99</v>
      </c>
      <c r="D3" s="117">
        <v>30</v>
      </c>
      <c r="E3" s="121"/>
    </row>
    <row r="4" spans="1:5" ht="16.5" x14ac:dyDescent="0.35">
      <c r="A4" s="116">
        <v>2</v>
      </c>
      <c r="B4" s="118" t="s">
        <v>123</v>
      </c>
      <c r="C4" s="117">
        <v>99</v>
      </c>
      <c r="D4" s="117">
        <v>10</v>
      </c>
      <c r="E4" s="121"/>
    </row>
    <row r="5" spans="1:5" ht="16.5" x14ac:dyDescent="0.35">
      <c r="A5" s="116">
        <v>3</v>
      </c>
      <c r="B5" s="118" t="s">
        <v>119</v>
      </c>
      <c r="C5" s="117">
        <v>80</v>
      </c>
      <c r="D5" s="117">
        <v>2</v>
      </c>
      <c r="E5" s="121"/>
    </row>
    <row r="6" spans="1:5" ht="16.5" x14ac:dyDescent="0.3">
      <c r="A6" s="113">
        <v>4</v>
      </c>
      <c r="B6" s="121" t="s">
        <v>1033</v>
      </c>
      <c r="C6" s="268">
        <v>98</v>
      </c>
      <c r="D6" s="268">
        <v>200</v>
      </c>
      <c r="E6" s="121"/>
    </row>
    <row r="7" spans="1:5" s="112" customFormat="1" ht="16.5" x14ac:dyDescent="0.35">
      <c r="A7" s="116">
        <v>5</v>
      </c>
      <c r="B7" s="118" t="s">
        <v>1035</v>
      </c>
      <c r="C7" s="117">
        <v>77</v>
      </c>
      <c r="D7" s="117">
        <v>30</v>
      </c>
      <c r="E7" s="118"/>
    </row>
    <row r="8" spans="1:5" ht="16.5" x14ac:dyDescent="0.3">
      <c r="A8" s="113">
        <v>6</v>
      </c>
      <c r="B8" s="118" t="s">
        <v>1034</v>
      </c>
      <c r="C8" s="117">
        <v>77</v>
      </c>
      <c r="D8" s="117">
        <v>0.1</v>
      </c>
      <c r="E8" s="121"/>
    </row>
    <row r="9" spans="1:5" ht="16.5" x14ac:dyDescent="0.35">
      <c r="A9" s="116">
        <v>7</v>
      </c>
      <c r="B9" s="121" t="s">
        <v>1032</v>
      </c>
      <c r="C9" s="268">
        <v>98</v>
      </c>
      <c r="D9" s="268">
        <v>9500</v>
      </c>
      <c r="E9" s="121"/>
    </row>
    <row r="10" spans="1:5" ht="16.5" x14ac:dyDescent="0.35">
      <c r="A10" s="116">
        <v>8</v>
      </c>
      <c r="B10" s="118" t="s">
        <v>120</v>
      </c>
      <c r="C10" s="117">
        <v>100</v>
      </c>
      <c r="D10" s="117">
        <v>0.1</v>
      </c>
      <c r="E10" s="121"/>
    </row>
    <row r="11" spans="1:5" ht="16.5" x14ac:dyDescent="0.35">
      <c r="A11" s="124">
        <v>9</v>
      </c>
      <c r="B11" s="118" t="s">
        <v>121</v>
      </c>
      <c r="C11" s="117">
        <v>98</v>
      </c>
      <c r="D11" s="117">
        <v>6</v>
      </c>
      <c r="E11" s="121"/>
    </row>
    <row r="12" spans="1:5" ht="16.5" x14ac:dyDescent="0.35">
      <c r="A12" s="124">
        <v>10</v>
      </c>
      <c r="B12" s="118" t="s">
        <v>122</v>
      </c>
      <c r="C12" s="117">
        <v>98</v>
      </c>
      <c r="D12" s="117">
        <v>30</v>
      </c>
      <c r="E12" s="121"/>
    </row>
    <row r="13" spans="1:5" ht="16.5" x14ac:dyDescent="0.35">
      <c r="A13" s="122"/>
      <c r="B13" s="121"/>
      <c r="C13" s="268"/>
      <c r="D13" s="268"/>
      <c r="E13" s="121"/>
    </row>
    <row r="14" spans="1:5" ht="16.5" x14ac:dyDescent="0.35">
      <c r="A14" s="122"/>
      <c r="B14" s="121"/>
      <c r="C14" s="121"/>
      <c r="D14" s="121"/>
      <c r="E14" s="121"/>
    </row>
    <row r="15" spans="1:5" ht="16.5" x14ac:dyDescent="0.35">
      <c r="A15" s="122"/>
      <c r="B15" s="121"/>
      <c r="C15" s="121"/>
      <c r="D15" s="121"/>
      <c r="E15" s="121"/>
    </row>
  </sheetData>
  <sheetProtection selectLockedCells="1" selectUnlockedCells="1"/>
  <phoneticPr fontId="0" type="noConversion"/>
  <pageMargins left="0.75" right="0.75" top="1" bottom="1" header="0.51180555555555551" footer="0.51180555555555551"/>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J93"/>
  <sheetViews>
    <sheetView showZeros="0" zoomScale="85" zoomScaleNormal="85" workbookViewId="0">
      <selection activeCell="G23" sqref="G23"/>
    </sheetView>
  </sheetViews>
  <sheetFormatPr defaultColWidth="9.140625" defaultRowHeight="15" x14ac:dyDescent="0.3"/>
  <cols>
    <col min="1" max="1" width="10.85546875" style="268" customWidth="1"/>
    <col min="2" max="2" width="25.85546875" style="121" customWidth="1"/>
    <col min="3" max="3" width="31.5703125" style="121" customWidth="1"/>
    <col min="4" max="4" width="26.42578125" style="121" customWidth="1"/>
    <col min="5" max="5" width="17.42578125" style="338" customWidth="1"/>
    <col min="6" max="6" width="13.28515625" style="268" customWidth="1"/>
    <col min="7" max="7" width="13.28515625" style="340" customWidth="1"/>
    <col min="8" max="10" width="5.140625" style="268" customWidth="1"/>
    <col min="11" max="16384" width="9.140625" style="121"/>
  </cols>
  <sheetData>
    <row r="1" spans="1:10" s="125" customFormat="1" ht="43.5" customHeight="1" x14ac:dyDescent="0.3">
      <c r="A1" s="332" t="s">
        <v>124</v>
      </c>
      <c r="B1" s="332" t="s">
        <v>453</v>
      </c>
      <c r="C1" s="332" t="s">
        <v>507</v>
      </c>
      <c r="D1" s="332" t="s">
        <v>449</v>
      </c>
      <c r="E1" s="333" t="s">
        <v>661</v>
      </c>
      <c r="F1" s="332" t="s">
        <v>506</v>
      </c>
      <c r="G1" s="606" t="s">
        <v>1026</v>
      </c>
      <c r="H1" s="604" t="s">
        <v>125</v>
      </c>
      <c r="I1" s="604"/>
      <c r="J1" s="604"/>
    </row>
    <row r="2" spans="1:10" ht="48" customHeight="1" x14ac:dyDescent="0.3">
      <c r="A2" s="334">
        <v>0</v>
      </c>
      <c r="B2" s="232" t="s">
        <v>137</v>
      </c>
      <c r="C2" s="232"/>
      <c r="D2" s="232"/>
      <c r="E2" s="335" t="s">
        <v>640</v>
      </c>
      <c r="F2" s="334"/>
      <c r="G2" s="606"/>
      <c r="H2" s="336" t="s">
        <v>126</v>
      </c>
      <c r="I2" s="336" t="s">
        <v>127</v>
      </c>
      <c r="J2" s="336" t="s">
        <v>716</v>
      </c>
    </row>
    <row r="3" spans="1:10" s="337" customFormat="1" ht="21" customHeight="1" x14ac:dyDescent="0.2">
      <c r="A3" s="605" t="s">
        <v>508</v>
      </c>
      <c r="B3" s="605"/>
      <c r="C3" s="605"/>
      <c r="D3" s="605"/>
      <c r="E3" s="605"/>
      <c r="F3" s="605"/>
      <c r="G3" s="605"/>
      <c r="H3" s="605"/>
      <c r="I3" s="605"/>
      <c r="J3" s="605"/>
    </row>
    <row r="4" spans="1:10" ht="21" customHeight="1" x14ac:dyDescent="0.35">
      <c r="A4" s="124">
        <v>1</v>
      </c>
      <c r="B4" s="121" t="s">
        <v>868</v>
      </c>
      <c r="C4" s="121" t="s">
        <v>451</v>
      </c>
      <c r="D4" s="121" t="s">
        <v>452</v>
      </c>
      <c r="E4" s="338">
        <v>4</v>
      </c>
      <c r="F4" s="268" t="s">
        <v>921</v>
      </c>
      <c r="G4" s="339"/>
      <c r="H4" s="268" t="s">
        <v>130</v>
      </c>
      <c r="I4" s="268" t="s">
        <v>35</v>
      </c>
      <c r="J4" s="268" t="s">
        <v>133</v>
      </c>
    </row>
    <row r="5" spans="1:10" ht="21" customHeight="1" x14ac:dyDescent="0.35">
      <c r="A5" s="124">
        <v>2</v>
      </c>
      <c r="B5" s="121" t="s">
        <v>711</v>
      </c>
      <c r="C5" s="121" t="s">
        <v>457</v>
      </c>
      <c r="D5" s="121" t="s">
        <v>450</v>
      </c>
      <c r="E5" s="338">
        <v>8.9</v>
      </c>
      <c r="F5" s="268" t="s">
        <v>431</v>
      </c>
      <c r="G5" s="339"/>
      <c r="H5" s="268" t="s">
        <v>129</v>
      </c>
    </row>
    <row r="6" spans="1:10" ht="21" customHeight="1" x14ac:dyDescent="0.35">
      <c r="A6" s="124">
        <v>3</v>
      </c>
      <c r="B6" s="121" t="s">
        <v>858</v>
      </c>
      <c r="D6" s="121" t="s">
        <v>454</v>
      </c>
      <c r="E6" s="338">
        <v>15</v>
      </c>
      <c r="F6" s="268" t="s">
        <v>922</v>
      </c>
      <c r="G6" s="339"/>
      <c r="I6" s="268" t="s">
        <v>455</v>
      </c>
    </row>
    <row r="7" spans="1:10" ht="21" customHeight="1" x14ac:dyDescent="0.35">
      <c r="A7" s="124">
        <v>4</v>
      </c>
      <c r="B7" s="121" t="s">
        <v>859</v>
      </c>
      <c r="C7" s="121" t="s">
        <v>456</v>
      </c>
      <c r="D7" s="121" t="s">
        <v>472</v>
      </c>
      <c r="E7" s="338">
        <v>1</v>
      </c>
      <c r="F7" s="268" t="s">
        <v>923</v>
      </c>
      <c r="G7" s="339">
        <v>6</v>
      </c>
      <c r="H7" s="268" t="s">
        <v>130</v>
      </c>
    </row>
    <row r="8" spans="1:10" ht="21" customHeight="1" x14ac:dyDescent="0.35">
      <c r="A8" s="124">
        <v>5</v>
      </c>
      <c r="B8" s="121" t="s">
        <v>860</v>
      </c>
      <c r="C8" s="121" t="s">
        <v>458</v>
      </c>
      <c r="D8" s="121" t="s">
        <v>473</v>
      </c>
      <c r="E8" s="338" t="s">
        <v>489</v>
      </c>
      <c r="F8" s="268" t="s">
        <v>924</v>
      </c>
      <c r="G8" s="339">
        <v>10.1</v>
      </c>
      <c r="I8" s="268" t="s">
        <v>35</v>
      </c>
    </row>
    <row r="9" spans="1:10" ht="21" customHeight="1" x14ac:dyDescent="0.35">
      <c r="A9" s="124">
        <v>6</v>
      </c>
      <c r="B9" s="121" t="s">
        <v>712</v>
      </c>
      <c r="C9" s="121" t="s">
        <v>459</v>
      </c>
      <c r="D9" s="121" t="s">
        <v>474</v>
      </c>
      <c r="E9" s="338" t="s">
        <v>490</v>
      </c>
      <c r="G9" s="339"/>
      <c r="I9" s="268" t="s">
        <v>35</v>
      </c>
    </row>
    <row r="10" spans="1:10" ht="21" customHeight="1" x14ac:dyDescent="0.35">
      <c r="A10" s="124">
        <v>7</v>
      </c>
      <c r="B10" s="121" t="s">
        <v>713</v>
      </c>
      <c r="C10" s="121" t="s">
        <v>460</v>
      </c>
      <c r="D10" s="121" t="s">
        <v>475</v>
      </c>
      <c r="E10" s="338" t="s">
        <v>491</v>
      </c>
      <c r="G10" s="339">
        <v>3.5</v>
      </c>
      <c r="H10" s="268" t="s">
        <v>130</v>
      </c>
    </row>
    <row r="11" spans="1:10" ht="21" customHeight="1" x14ac:dyDescent="0.35">
      <c r="A11" s="124">
        <v>8</v>
      </c>
      <c r="B11" s="121" t="s">
        <v>853</v>
      </c>
      <c r="C11" s="121" t="s">
        <v>461</v>
      </c>
      <c r="D11" s="121" t="s">
        <v>476</v>
      </c>
      <c r="E11" s="338" t="s">
        <v>492</v>
      </c>
      <c r="F11" s="268" t="s">
        <v>925</v>
      </c>
      <c r="G11" s="339">
        <v>4</v>
      </c>
      <c r="H11" s="268" t="s">
        <v>130</v>
      </c>
      <c r="J11" s="268" t="s">
        <v>504</v>
      </c>
    </row>
    <row r="12" spans="1:10" ht="21" customHeight="1" x14ac:dyDescent="0.35">
      <c r="A12" s="124">
        <v>9</v>
      </c>
      <c r="B12" s="121" t="s">
        <v>861</v>
      </c>
      <c r="C12" s="121" t="s">
        <v>462</v>
      </c>
      <c r="D12" s="121" t="s">
        <v>477</v>
      </c>
      <c r="E12" s="338" t="s">
        <v>493</v>
      </c>
      <c r="F12" s="268" t="s">
        <v>926</v>
      </c>
      <c r="G12" s="339"/>
      <c r="H12" s="268" t="s">
        <v>130</v>
      </c>
      <c r="J12" s="268" t="s">
        <v>504</v>
      </c>
    </row>
    <row r="13" spans="1:10" ht="21" customHeight="1" x14ac:dyDescent="0.35">
      <c r="A13" s="124">
        <v>10</v>
      </c>
      <c r="B13" s="121" t="s">
        <v>714</v>
      </c>
      <c r="C13" s="121" t="s">
        <v>463</v>
      </c>
      <c r="D13" s="121" t="s">
        <v>478</v>
      </c>
      <c r="E13" s="338" t="s">
        <v>494</v>
      </c>
      <c r="G13" s="339"/>
      <c r="I13" s="268" t="s">
        <v>35</v>
      </c>
    </row>
    <row r="14" spans="1:10" ht="21" customHeight="1" x14ac:dyDescent="0.35">
      <c r="A14" s="124">
        <v>11</v>
      </c>
      <c r="B14" s="121" t="s">
        <v>854</v>
      </c>
      <c r="C14" s="121" t="s">
        <v>464</v>
      </c>
      <c r="D14" s="121" t="s">
        <v>479</v>
      </c>
      <c r="E14" s="338" t="s">
        <v>495</v>
      </c>
      <c r="F14" s="268" t="s">
        <v>927</v>
      </c>
      <c r="G14" s="339">
        <v>4</v>
      </c>
      <c r="H14" s="268" t="s">
        <v>130</v>
      </c>
    </row>
    <row r="15" spans="1:10" ht="21" customHeight="1" x14ac:dyDescent="0.35">
      <c r="A15" s="124">
        <v>12</v>
      </c>
      <c r="B15" s="121" t="s">
        <v>855</v>
      </c>
      <c r="C15" s="121" t="s">
        <v>464</v>
      </c>
      <c r="D15" s="121" t="s">
        <v>475</v>
      </c>
      <c r="E15" s="338" t="s">
        <v>496</v>
      </c>
      <c r="F15" s="268" t="s">
        <v>928</v>
      </c>
      <c r="G15" s="339">
        <v>2.9</v>
      </c>
      <c r="H15" s="268" t="s">
        <v>130</v>
      </c>
    </row>
    <row r="16" spans="1:10" ht="21" customHeight="1" x14ac:dyDescent="0.35">
      <c r="A16" s="124">
        <v>13</v>
      </c>
      <c r="B16" s="121" t="s">
        <v>856</v>
      </c>
      <c r="C16" s="121" t="s">
        <v>465</v>
      </c>
      <c r="D16" s="121" t="s">
        <v>480</v>
      </c>
      <c r="E16" s="338" t="s">
        <v>497</v>
      </c>
      <c r="F16" s="268" t="s">
        <v>929</v>
      </c>
      <c r="G16" s="339">
        <v>8.6</v>
      </c>
      <c r="H16" s="268" t="s">
        <v>130</v>
      </c>
      <c r="I16" s="268" t="s">
        <v>35</v>
      </c>
    </row>
    <row r="17" spans="1:10" ht="21" customHeight="1" x14ac:dyDescent="0.35">
      <c r="A17" s="124">
        <v>14</v>
      </c>
      <c r="B17" s="121" t="s">
        <v>857</v>
      </c>
      <c r="C17" s="121" t="s">
        <v>466</v>
      </c>
      <c r="D17" s="121" t="s">
        <v>481</v>
      </c>
      <c r="E17" s="338" t="s">
        <v>498</v>
      </c>
      <c r="F17" s="268" t="s">
        <v>930</v>
      </c>
      <c r="G17" s="339">
        <v>12</v>
      </c>
      <c r="I17" s="268" t="s">
        <v>35</v>
      </c>
    </row>
    <row r="18" spans="1:10" ht="21" customHeight="1" x14ac:dyDescent="0.35">
      <c r="A18" s="124">
        <v>15</v>
      </c>
      <c r="B18" s="121" t="s">
        <v>862</v>
      </c>
      <c r="C18" s="121" t="s">
        <v>467</v>
      </c>
      <c r="D18" s="121" t="s">
        <v>482</v>
      </c>
      <c r="E18" s="338" t="s">
        <v>494</v>
      </c>
      <c r="F18" s="268" t="s">
        <v>931</v>
      </c>
      <c r="G18" s="339">
        <v>8.4</v>
      </c>
      <c r="H18" s="268" t="s">
        <v>130</v>
      </c>
      <c r="I18" s="268" t="s">
        <v>35</v>
      </c>
    </row>
    <row r="19" spans="1:10" ht="21" customHeight="1" x14ac:dyDescent="0.35">
      <c r="A19" s="124">
        <v>16</v>
      </c>
      <c r="B19" s="121" t="s">
        <v>715</v>
      </c>
      <c r="C19" s="121" t="s">
        <v>468</v>
      </c>
      <c r="D19" s="121" t="s">
        <v>480</v>
      </c>
      <c r="E19" s="338" t="s">
        <v>499</v>
      </c>
      <c r="G19" s="339"/>
      <c r="I19" s="268" t="s">
        <v>35</v>
      </c>
    </row>
    <row r="20" spans="1:10" ht="21" customHeight="1" x14ac:dyDescent="0.35">
      <c r="A20" s="124">
        <v>17</v>
      </c>
      <c r="B20" s="121" t="s">
        <v>932</v>
      </c>
      <c r="C20" s="121" t="s">
        <v>466</v>
      </c>
      <c r="D20" s="121" t="s">
        <v>483</v>
      </c>
      <c r="E20" s="338" t="s">
        <v>494</v>
      </c>
      <c r="F20" s="268" t="s">
        <v>933</v>
      </c>
      <c r="G20" s="339">
        <v>3.4</v>
      </c>
      <c r="H20" s="268" t="s">
        <v>130</v>
      </c>
      <c r="I20" s="268" t="s">
        <v>35</v>
      </c>
    </row>
    <row r="21" spans="1:10" ht="21" customHeight="1" x14ac:dyDescent="0.35">
      <c r="A21" s="124">
        <v>18</v>
      </c>
      <c r="B21" s="121" t="s">
        <v>863</v>
      </c>
      <c r="C21" s="121" t="s">
        <v>469</v>
      </c>
      <c r="D21" s="121" t="s">
        <v>484</v>
      </c>
      <c r="E21" s="338" t="s">
        <v>500</v>
      </c>
      <c r="F21" s="268" t="s">
        <v>925</v>
      </c>
      <c r="G21" s="339"/>
      <c r="H21" s="268" t="s">
        <v>130</v>
      </c>
    </row>
    <row r="22" spans="1:10" ht="21" customHeight="1" x14ac:dyDescent="0.35">
      <c r="A22" s="124">
        <v>19</v>
      </c>
      <c r="B22" s="121" t="s">
        <v>864</v>
      </c>
      <c r="D22" s="121" t="s">
        <v>485</v>
      </c>
      <c r="E22" s="338" t="s">
        <v>501</v>
      </c>
      <c r="F22" s="268" t="s">
        <v>934</v>
      </c>
      <c r="G22" s="339">
        <v>2.8</v>
      </c>
      <c r="H22" s="268" t="s">
        <v>130</v>
      </c>
    </row>
    <row r="23" spans="1:10" ht="21" customHeight="1" x14ac:dyDescent="0.35">
      <c r="A23" s="124">
        <v>20</v>
      </c>
      <c r="B23" s="121" t="s">
        <v>865</v>
      </c>
      <c r="C23" s="121" t="s">
        <v>457</v>
      </c>
      <c r="D23" s="121" t="s">
        <v>486</v>
      </c>
      <c r="E23" s="338" t="s">
        <v>494</v>
      </c>
      <c r="F23" s="268" t="s">
        <v>935</v>
      </c>
      <c r="G23" s="339"/>
      <c r="I23" s="268" t="s">
        <v>35</v>
      </c>
      <c r="J23" s="268" t="s">
        <v>133</v>
      </c>
    </row>
    <row r="24" spans="1:10" ht="21" customHeight="1" x14ac:dyDescent="0.35">
      <c r="A24" s="124">
        <v>21</v>
      </c>
      <c r="B24" s="121" t="s">
        <v>866</v>
      </c>
      <c r="C24" s="121" t="s">
        <v>470</v>
      </c>
      <c r="D24" s="121" t="s">
        <v>487</v>
      </c>
      <c r="E24" s="338" t="s">
        <v>502</v>
      </c>
      <c r="F24" s="268" t="s">
        <v>936</v>
      </c>
      <c r="G24" s="339"/>
      <c r="H24" s="268" t="s">
        <v>130</v>
      </c>
    </row>
    <row r="25" spans="1:10" ht="21" customHeight="1" x14ac:dyDescent="0.35">
      <c r="A25" s="124">
        <v>22</v>
      </c>
      <c r="B25" s="121" t="s">
        <v>867</v>
      </c>
      <c r="C25" s="121" t="s">
        <v>471</v>
      </c>
      <c r="D25" s="121" t="s">
        <v>488</v>
      </c>
      <c r="E25" s="338" t="s">
        <v>503</v>
      </c>
      <c r="F25" s="268" t="s">
        <v>936</v>
      </c>
      <c r="G25" s="339"/>
      <c r="H25" s="268" t="s">
        <v>130</v>
      </c>
    </row>
    <row r="26" spans="1:10" ht="21" customHeight="1" x14ac:dyDescent="0.35">
      <c r="A26" s="124">
        <v>23</v>
      </c>
      <c r="B26" s="121" t="s">
        <v>1088</v>
      </c>
      <c r="C26" s="121" t="s">
        <v>1089</v>
      </c>
      <c r="D26" s="121" t="s">
        <v>1090</v>
      </c>
      <c r="E26" s="338" t="s">
        <v>1091</v>
      </c>
      <c r="F26" s="389">
        <v>45239</v>
      </c>
      <c r="G26" s="339">
        <v>13.9</v>
      </c>
      <c r="H26" s="268" t="s">
        <v>130</v>
      </c>
      <c r="I26" s="268" t="s">
        <v>35</v>
      </c>
      <c r="J26" s="268" t="s">
        <v>133</v>
      </c>
    </row>
    <row r="27" spans="1:10" ht="21" customHeight="1" x14ac:dyDescent="0.35">
      <c r="A27" s="124">
        <v>24</v>
      </c>
      <c r="G27" s="339"/>
    </row>
    <row r="28" spans="1:10" ht="19.5" x14ac:dyDescent="0.3">
      <c r="A28" s="605" t="s">
        <v>550</v>
      </c>
      <c r="B28" s="605"/>
      <c r="C28" s="605"/>
      <c r="D28" s="605"/>
      <c r="E28" s="605"/>
      <c r="F28" s="605"/>
      <c r="G28" s="605"/>
      <c r="H28" s="605"/>
      <c r="I28" s="605"/>
      <c r="J28" s="605"/>
    </row>
    <row r="29" spans="1:10" ht="21" customHeight="1" x14ac:dyDescent="0.35">
      <c r="A29" s="124">
        <v>101</v>
      </c>
      <c r="B29" s="121" t="s">
        <v>509</v>
      </c>
      <c r="C29" s="121" t="s">
        <v>551</v>
      </c>
      <c r="D29" s="121" t="s">
        <v>591</v>
      </c>
      <c r="E29" s="338" t="s">
        <v>499</v>
      </c>
      <c r="F29" s="268" t="s">
        <v>662</v>
      </c>
      <c r="G29" s="339"/>
      <c r="I29" s="268" t="s">
        <v>35</v>
      </c>
    </row>
    <row r="30" spans="1:10" ht="21" customHeight="1" x14ac:dyDescent="0.35">
      <c r="A30" s="124">
        <v>102</v>
      </c>
      <c r="B30" s="121" t="s">
        <v>510</v>
      </c>
      <c r="C30" s="121" t="s">
        <v>552</v>
      </c>
      <c r="D30" s="121" t="s">
        <v>592</v>
      </c>
      <c r="E30" s="338" t="s">
        <v>627</v>
      </c>
      <c r="F30" s="268" t="s">
        <v>663</v>
      </c>
      <c r="G30" s="339"/>
      <c r="I30" s="268" t="s">
        <v>35</v>
      </c>
    </row>
    <row r="31" spans="1:10" ht="21" customHeight="1" x14ac:dyDescent="0.35">
      <c r="A31" s="124">
        <v>103</v>
      </c>
      <c r="B31" s="121" t="s">
        <v>511</v>
      </c>
      <c r="C31" s="121" t="s">
        <v>553</v>
      </c>
      <c r="D31" s="121" t="s">
        <v>593</v>
      </c>
      <c r="E31" s="338" t="s">
        <v>628</v>
      </c>
      <c r="F31" s="268" t="s">
        <v>664</v>
      </c>
      <c r="G31" s="339"/>
    </row>
    <row r="32" spans="1:10" ht="21" customHeight="1" x14ac:dyDescent="0.35">
      <c r="A32" s="124">
        <v>104</v>
      </c>
      <c r="B32" s="121" t="s">
        <v>870</v>
      </c>
      <c r="C32" s="121" t="s">
        <v>554</v>
      </c>
      <c r="D32" s="121" t="s">
        <v>592</v>
      </c>
      <c r="E32" s="338" t="s">
        <v>627</v>
      </c>
      <c r="F32" s="268" t="s">
        <v>665</v>
      </c>
      <c r="G32" s="339"/>
      <c r="I32" s="268" t="s">
        <v>35</v>
      </c>
    </row>
    <row r="33" spans="1:10" ht="21" customHeight="1" x14ac:dyDescent="0.35">
      <c r="A33" s="124">
        <v>105</v>
      </c>
      <c r="B33" s="121" t="s">
        <v>128</v>
      </c>
      <c r="C33" s="121" t="s">
        <v>555</v>
      </c>
      <c r="D33" s="121" t="s">
        <v>594</v>
      </c>
      <c r="E33" s="338" t="s">
        <v>629</v>
      </c>
      <c r="F33" s="268" t="s">
        <v>666</v>
      </c>
      <c r="G33" s="339"/>
      <c r="I33" s="268" t="s">
        <v>35</v>
      </c>
    </row>
    <row r="34" spans="1:10" ht="21" customHeight="1" x14ac:dyDescent="0.35">
      <c r="A34" s="124">
        <v>106</v>
      </c>
      <c r="B34" s="121" t="s">
        <v>512</v>
      </c>
      <c r="C34" s="121" t="s">
        <v>468</v>
      </c>
      <c r="D34" s="121" t="s">
        <v>595</v>
      </c>
      <c r="E34" s="338" t="s">
        <v>630</v>
      </c>
      <c r="F34" s="268" t="s">
        <v>667</v>
      </c>
      <c r="G34" s="339"/>
      <c r="H34" s="268" t="s">
        <v>130</v>
      </c>
    </row>
    <row r="35" spans="1:10" ht="21" customHeight="1" x14ac:dyDescent="0.35">
      <c r="A35" s="124">
        <v>107</v>
      </c>
      <c r="B35" s="121" t="s">
        <v>513</v>
      </c>
      <c r="C35" s="121" t="s">
        <v>556</v>
      </c>
      <c r="D35" s="121" t="s">
        <v>596</v>
      </c>
      <c r="E35" s="338" t="s">
        <v>630</v>
      </c>
      <c r="F35" s="268" t="s">
        <v>668</v>
      </c>
      <c r="G35" s="339"/>
      <c r="H35" s="268" t="s">
        <v>130</v>
      </c>
    </row>
    <row r="36" spans="1:10" ht="21" customHeight="1" x14ac:dyDescent="0.35">
      <c r="A36" s="124">
        <v>108</v>
      </c>
      <c r="B36" s="121" t="s">
        <v>131</v>
      </c>
      <c r="C36" s="121" t="s">
        <v>557</v>
      </c>
      <c r="D36" s="121" t="s">
        <v>454</v>
      </c>
      <c r="E36" s="338" t="s">
        <v>430</v>
      </c>
      <c r="F36" s="268" t="s">
        <v>669</v>
      </c>
      <c r="G36" s="339"/>
      <c r="H36" s="268" t="s">
        <v>130</v>
      </c>
    </row>
    <row r="37" spans="1:10" ht="21" customHeight="1" x14ac:dyDescent="0.35">
      <c r="A37" s="124">
        <v>109</v>
      </c>
      <c r="B37" s="121" t="s">
        <v>514</v>
      </c>
      <c r="C37" s="121" t="s">
        <v>558</v>
      </c>
      <c r="D37" s="121" t="s">
        <v>597</v>
      </c>
      <c r="E37" s="338" t="s">
        <v>631</v>
      </c>
      <c r="F37" s="268" t="s">
        <v>670</v>
      </c>
      <c r="G37" s="339">
        <v>15</v>
      </c>
      <c r="I37" s="268" t="s">
        <v>35</v>
      </c>
      <c r="J37" s="268" t="s">
        <v>133</v>
      </c>
    </row>
    <row r="38" spans="1:10" ht="21" customHeight="1" x14ac:dyDescent="0.35">
      <c r="A38" s="124">
        <v>110</v>
      </c>
      <c r="B38" s="121" t="s">
        <v>132</v>
      </c>
      <c r="C38" s="121" t="s">
        <v>559</v>
      </c>
      <c r="D38" s="121" t="s">
        <v>598</v>
      </c>
      <c r="E38" s="338" t="s">
        <v>632</v>
      </c>
      <c r="F38" s="268" t="s">
        <v>671</v>
      </c>
      <c r="G38" s="339"/>
      <c r="I38" s="268" t="s">
        <v>35</v>
      </c>
    </row>
    <row r="39" spans="1:10" ht="21" customHeight="1" x14ac:dyDescent="0.35">
      <c r="A39" s="124">
        <v>111</v>
      </c>
      <c r="B39" s="121" t="s">
        <v>515</v>
      </c>
      <c r="C39" s="121" t="s">
        <v>560</v>
      </c>
      <c r="D39" s="121" t="s">
        <v>599</v>
      </c>
      <c r="E39" s="338" t="s">
        <v>633</v>
      </c>
      <c r="F39" s="268" t="s">
        <v>672</v>
      </c>
      <c r="G39" s="339"/>
      <c r="H39" s="268" t="s">
        <v>130</v>
      </c>
    </row>
    <row r="40" spans="1:10" ht="21" customHeight="1" x14ac:dyDescent="0.35">
      <c r="A40" s="124">
        <v>112</v>
      </c>
      <c r="B40" s="121" t="s">
        <v>871</v>
      </c>
      <c r="C40" s="121" t="s">
        <v>561</v>
      </c>
      <c r="D40" s="121" t="s">
        <v>600</v>
      </c>
      <c r="E40" s="338" t="s">
        <v>492</v>
      </c>
      <c r="F40" s="268" t="s">
        <v>673</v>
      </c>
      <c r="G40" s="339"/>
      <c r="H40" s="268" t="s">
        <v>130</v>
      </c>
    </row>
    <row r="41" spans="1:10" ht="21" customHeight="1" x14ac:dyDescent="0.35">
      <c r="A41" s="124">
        <v>113</v>
      </c>
      <c r="B41" s="121" t="s">
        <v>516</v>
      </c>
      <c r="C41" s="121" t="s">
        <v>562</v>
      </c>
      <c r="D41" s="121" t="s">
        <v>601</v>
      </c>
      <c r="E41" s="338" t="s">
        <v>634</v>
      </c>
      <c r="F41" s="268" t="s">
        <v>674</v>
      </c>
      <c r="G41" s="339"/>
      <c r="H41" s="268" t="s">
        <v>130</v>
      </c>
    </row>
    <row r="42" spans="1:10" ht="21" customHeight="1" x14ac:dyDescent="0.35">
      <c r="A42" s="124">
        <v>114</v>
      </c>
      <c r="B42" s="121" t="s">
        <v>869</v>
      </c>
      <c r="C42" s="121" t="s">
        <v>563</v>
      </c>
      <c r="D42" s="121" t="s">
        <v>602</v>
      </c>
      <c r="E42" s="338" t="s">
        <v>501</v>
      </c>
      <c r="F42" s="268" t="s">
        <v>675</v>
      </c>
      <c r="G42" s="339"/>
      <c r="H42" s="268" t="s">
        <v>130</v>
      </c>
    </row>
    <row r="43" spans="1:10" ht="21" customHeight="1" x14ac:dyDescent="0.35">
      <c r="A43" s="124">
        <v>115</v>
      </c>
      <c r="B43" s="121" t="s">
        <v>517</v>
      </c>
      <c r="C43" s="121" t="s">
        <v>564</v>
      </c>
      <c r="D43" s="121" t="s">
        <v>482</v>
      </c>
      <c r="E43" s="338" t="s">
        <v>635</v>
      </c>
      <c r="F43" s="268" t="s">
        <v>671</v>
      </c>
      <c r="G43" s="339"/>
      <c r="H43" s="268" t="s">
        <v>130</v>
      </c>
      <c r="I43" s="268" t="s">
        <v>35</v>
      </c>
    </row>
    <row r="44" spans="1:10" ht="21" customHeight="1" x14ac:dyDescent="0.35">
      <c r="A44" s="124">
        <v>116</v>
      </c>
      <c r="B44" s="121" t="s">
        <v>872</v>
      </c>
      <c r="C44" s="121" t="s">
        <v>565</v>
      </c>
      <c r="D44" s="121" t="s">
        <v>603</v>
      </c>
      <c r="E44" s="338" t="s">
        <v>638</v>
      </c>
      <c r="F44" s="268" t="s">
        <v>676</v>
      </c>
      <c r="G44" s="339"/>
      <c r="H44" s="268" t="s">
        <v>130</v>
      </c>
    </row>
    <row r="45" spans="1:10" ht="21" customHeight="1" x14ac:dyDescent="0.35">
      <c r="A45" s="124">
        <v>117</v>
      </c>
      <c r="B45" s="121" t="s">
        <v>518</v>
      </c>
      <c r="C45" s="121" t="s">
        <v>566</v>
      </c>
      <c r="D45" s="121" t="s">
        <v>475</v>
      </c>
      <c r="E45" s="338" t="s">
        <v>635</v>
      </c>
      <c r="F45" s="268" t="s">
        <v>677</v>
      </c>
      <c r="G45" s="339"/>
      <c r="H45" s="268" t="s">
        <v>130</v>
      </c>
    </row>
    <row r="46" spans="1:10" ht="21" customHeight="1" x14ac:dyDescent="0.35">
      <c r="A46" s="124">
        <v>118</v>
      </c>
      <c r="B46" s="121" t="s">
        <v>519</v>
      </c>
      <c r="D46" s="121" t="s">
        <v>604</v>
      </c>
      <c r="E46" s="338" t="s">
        <v>639</v>
      </c>
      <c r="F46" s="268" t="s">
        <v>678</v>
      </c>
      <c r="G46" s="339"/>
      <c r="I46" s="268" t="s">
        <v>35</v>
      </c>
    </row>
    <row r="47" spans="1:10" ht="21" customHeight="1" x14ac:dyDescent="0.35">
      <c r="A47" s="124">
        <v>119</v>
      </c>
      <c r="B47" s="121" t="s">
        <v>520</v>
      </c>
      <c r="C47" s="121" t="s">
        <v>566</v>
      </c>
      <c r="D47" s="121" t="s">
        <v>475</v>
      </c>
      <c r="E47" s="338" t="s">
        <v>495</v>
      </c>
      <c r="F47" s="268" t="s">
        <v>676</v>
      </c>
      <c r="G47" s="339"/>
      <c r="H47" s="268" t="s">
        <v>130</v>
      </c>
    </row>
    <row r="48" spans="1:10" ht="21" customHeight="1" x14ac:dyDescent="0.35">
      <c r="A48" s="124">
        <v>120</v>
      </c>
      <c r="B48" s="121" t="s">
        <v>521</v>
      </c>
      <c r="C48" s="121" t="s">
        <v>567</v>
      </c>
      <c r="D48" s="121" t="s">
        <v>605</v>
      </c>
      <c r="E48" s="338" t="s">
        <v>641</v>
      </c>
      <c r="F48" s="268" t="s">
        <v>679</v>
      </c>
      <c r="G48" s="339"/>
      <c r="I48" s="268" t="s">
        <v>35</v>
      </c>
    </row>
    <row r="49" spans="1:9" ht="21" customHeight="1" x14ac:dyDescent="0.35">
      <c r="A49" s="124">
        <v>121</v>
      </c>
      <c r="B49" s="121" t="s">
        <v>522</v>
      </c>
      <c r="D49" s="121" t="s">
        <v>592</v>
      </c>
      <c r="E49" s="338" t="s">
        <v>642</v>
      </c>
      <c r="F49" s="268" t="s">
        <v>678</v>
      </c>
      <c r="G49" s="339"/>
      <c r="I49" s="268" t="s">
        <v>35</v>
      </c>
    </row>
    <row r="50" spans="1:9" ht="21" customHeight="1" x14ac:dyDescent="0.35">
      <c r="A50" s="124">
        <v>122</v>
      </c>
      <c r="B50" s="121" t="s">
        <v>523</v>
      </c>
      <c r="C50" s="121" t="s">
        <v>568</v>
      </c>
      <c r="D50" s="121" t="s">
        <v>475</v>
      </c>
      <c r="E50" s="338" t="s">
        <v>636</v>
      </c>
      <c r="F50" s="268" t="s">
        <v>505</v>
      </c>
      <c r="G50" s="339"/>
      <c r="H50" s="268" t="s">
        <v>130</v>
      </c>
    </row>
    <row r="51" spans="1:9" ht="21" customHeight="1" x14ac:dyDescent="0.35">
      <c r="A51" s="124">
        <v>123</v>
      </c>
      <c r="B51" s="121" t="s">
        <v>873</v>
      </c>
      <c r="C51" s="121" t="s">
        <v>569</v>
      </c>
      <c r="D51" s="121" t="s">
        <v>476</v>
      </c>
      <c r="E51" s="338" t="s">
        <v>643</v>
      </c>
      <c r="F51" s="268" t="s">
        <v>680</v>
      </c>
      <c r="G51" s="339"/>
      <c r="H51" s="268" t="s">
        <v>130</v>
      </c>
    </row>
    <row r="52" spans="1:9" ht="21" customHeight="1" x14ac:dyDescent="0.35">
      <c r="A52" s="124">
        <v>124</v>
      </c>
      <c r="B52" s="121" t="s">
        <v>524</v>
      </c>
      <c r="C52" s="121" t="s">
        <v>570</v>
      </c>
      <c r="D52" s="121" t="s">
        <v>606</v>
      </c>
      <c r="E52" s="338" t="s">
        <v>644</v>
      </c>
      <c r="F52" s="268" t="s">
        <v>671</v>
      </c>
      <c r="G52" s="339"/>
      <c r="H52" s="268" t="s">
        <v>130</v>
      </c>
    </row>
    <row r="53" spans="1:9" ht="21" customHeight="1" x14ac:dyDescent="0.35">
      <c r="A53" s="124">
        <v>125</v>
      </c>
      <c r="B53" s="121" t="s">
        <v>525</v>
      </c>
      <c r="C53" s="121" t="s">
        <v>565</v>
      </c>
      <c r="D53" s="121" t="s">
        <v>607</v>
      </c>
      <c r="E53" s="338" t="s">
        <v>645</v>
      </c>
      <c r="F53" s="268" t="s">
        <v>681</v>
      </c>
      <c r="G53" s="339"/>
      <c r="H53" s="268" t="s">
        <v>130</v>
      </c>
    </row>
    <row r="54" spans="1:9" ht="21" customHeight="1" x14ac:dyDescent="0.35">
      <c r="A54" s="124">
        <v>126</v>
      </c>
      <c r="B54" s="121" t="s">
        <v>526</v>
      </c>
      <c r="C54" s="121" t="s">
        <v>571</v>
      </c>
      <c r="D54" s="121" t="s">
        <v>608</v>
      </c>
      <c r="E54" s="338" t="s">
        <v>646</v>
      </c>
      <c r="F54" s="268" t="s">
        <v>682</v>
      </c>
      <c r="G54" s="339"/>
      <c r="H54" s="268" t="s">
        <v>130</v>
      </c>
    </row>
    <row r="55" spans="1:9" ht="21" customHeight="1" x14ac:dyDescent="0.35">
      <c r="A55" s="124">
        <v>127</v>
      </c>
      <c r="B55" s="121" t="s">
        <v>527</v>
      </c>
      <c r="C55" s="121" t="s">
        <v>564</v>
      </c>
      <c r="D55" s="121" t="s">
        <v>591</v>
      </c>
      <c r="E55" s="338" t="s">
        <v>644</v>
      </c>
      <c r="F55" s="268" t="s">
        <v>683</v>
      </c>
      <c r="G55" s="339"/>
      <c r="I55" s="268" t="s">
        <v>35</v>
      </c>
    </row>
    <row r="56" spans="1:9" ht="21" customHeight="1" x14ac:dyDescent="0.35">
      <c r="A56" s="124">
        <v>128</v>
      </c>
      <c r="B56" s="121" t="s">
        <v>528</v>
      </c>
      <c r="C56" s="121" t="s">
        <v>565</v>
      </c>
      <c r="D56" s="121" t="s">
        <v>609</v>
      </c>
      <c r="E56" s="338" t="s">
        <v>635</v>
      </c>
      <c r="F56" s="268" t="s">
        <v>684</v>
      </c>
      <c r="G56" s="339">
        <v>6</v>
      </c>
      <c r="H56" s="268" t="s">
        <v>130</v>
      </c>
    </row>
    <row r="57" spans="1:9" ht="21" customHeight="1" x14ac:dyDescent="0.35">
      <c r="A57" s="124">
        <v>129</v>
      </c>
      <c r="B57" s="121" t="s">
        <v>529</v>
      </c>
      <c r="C57" s="121" t="s">
        <v>572</v>
      </c>
      <c r="D57" s="121" t="s">
        <v>610</v>
      </c>
      <c r="E57" s="338" t="s">
        <v>647</v>
      </c>
      <c r="F57" s="268" t="s">
        <v>685</v>
      </c>
      <c r="G57" s="339"/>
      <c r="I57" s="268" t="s">
        <v>35</v>
      </c>
    </row>
    <row r="58" spans="1:9" ht="21" customHeight="1" x14ac:dyDescent="0.35">
      <c r="A58" s="124">
        <v>130</v>
      </c>
      <c r="B58" s="121" t="s">
        <v>874</v>
      </c>
      <c r="C58" s="121" t="s">
        <v>573</v>
      </c>
      <c r="D58" s="121" t="s">
        <v>611</v>
      </c>
      <c r="E58" s="338" t="s">
        <v>648</v>
      </c>
      <c r="F58" s="268" t="s">
        <v>686</v>
      </c>
      <c r="G58" s="339"/>
      <c r="H58" s="268" t="s">
        <v>130</v>
      </c>
    </row>
    <row r="59" spans="1:9" ht="21" customHeight="1" x14ac:dyDescent="0.35">
      <c r="A59" s="124">
        <v>131</v>
      </c>
      <c r="B59" s="121" t="s">
        <v>530</v>
      </c>
      <c r="C59" s="121" t="s">
        <v>574</v>
      </c>
      <c r="D59" s="121" t="s">
        <v>403</v>
      </c>
      <c r="E59" s="338" t="s">
        <v>649</v>
      </c>
      <c r="F59" s="268" t="s">
        <v>687</v>
      </c>
      <c r="G59" s="339"/>
      <c r="H59" s="268" t="s">
        <v>130</v>
      </c>
    </row>
    <row r="60" spans="1:9" ht="21" customHeight="1" x14ac:dyDescent="0.35">
      <c r="A60" s="124">
        <v>132</v>
      </c>
      <c r="B60" s="121" t="s">
        <v>531</v>
      </c>
      <c r="C60" s="121" t="s">
        <v>575</v>
      </c>
      <c r="D60" s="121" t="s">
        <v>612</v>
      </c>
      <c r="E60" s="338" t="s">
        <v>650</v>
      </c>
      <c r="F60" s="268" t="s">
        <v>575</v>
      </c>
      <c r="G60" s="339"/>
      <c r="H60" s="268" t="s">
        <v>130</v>
      </c>
    </row>
    <row r="61" spans="1:9" ht="21" customHeight="1" x14ac:dyDescent="0.35">
      <c r="A61" s="124">
        <v>133</v>
      </c>
      <c r="B61" s="121" t="s">
        <v>532</v>
      </c>
      <c r="C61" s="121" t="s">
        <v>576</v>
      </c>
      <c r="E61" s="338" t="s">
        <v>630</v>
      </c>
      <c r="F61" s="268" t="s">
        <v>688</v>
      </c>
      <c r="G61" s="339"/>
    </row>
    <row r="62" spans="1:9" ht="21" customHeight="1" x14ac:dyDescent="0.35">
      <c r="A62" s="124">
        <v>134</v>
      </c>
      <c r="B62" s="121" t="s">
        <v>875</v>
      </c>
      <c r="C62" s="121" t="s">
        <v>577</v>
      </c>
      <c r="D62" s="121" t="s">
        <v>603</v>
      </c>
      <c r="E62" s="338" t="s">
        <v>632</v>
      </c>
      <c r="F62" s="268" t="s">
        <v>689</v>
      </c>
      <c r="G62" s="339">
        <v>8</v>
      </c>
      <c r="H62" s="268" t="s">
        <v>130</v>
      </c>
    </row>
    <row r="63" spans="1:9" ht="21" customHeight="1" x14ac:dyDescent="0.35">
      <c r="A63" s="124">
        <v>135</v>
      </c>
      <c r="B63" s="121" t="s">
        <v>533</v>
      </c>
      <c r="C63" s="121" t="s">
        <v>578</v>
      </c>
      <c r="D63" s="121" t="s">
        <v>612</v>
      </c>
      <c r="E63" s="338" t="s">
        <v>651</v>
      </c>
      <c r="F63" s="268" t="s">
        <v>690</v>
      </c>
      <c r="G63" s="339"/>
      <c r="H63" s="268" t="s">
        <v>130</v>
      </c>
    </row>
    <row r="64" spans="1:9" ht="21" customHeight="1" x14ac:dyDescent="0.35">
      <c r="A64" s="124">
        <v>136</v>
      </c>
      <c r="B64" s="121" t="s">
        <v>534</v>
      </c>
      <c r="C64" s="121" t="s">
        <v>579</v>
      </c>
      <c r="D64" s="121" t="s">
        <v>614</v>
      </c>
      <c r="E64" s="338" t="s">
        <v>637</v>
      </c>
      <c r="F64" s="268" t="s">
        <v>691</v>
      </c>
      <c r="G64" s="339"/>
      <c r="H64" s="268" t="s">
        <v>130</v>
      </c>
    </row>
    <row r="65" spans="1:9" ht="21" customHeight="1" x14ac:dyDescent="0.35">
      <c r="A65" s="124">
        <v>137</v>
      </c>
      <c r="B65" s="121" t="s">
        <v>535</v>
      </c>
      <c r="C65" s="121" t="s">
        <v>566</v>
      </c>
      <c r="D65" s="121" t="s">
        <v>615</v>
      </c>
      <c r="E65" s="338" t="s">
        <v>430</v>
      </c>
      <c r="F65" s="268" t="s">
        <v>692</v>
      </c>
      <c r="G65" s="339"/>
      <c r="H65" s="268" t="s">
        <v>130</v>
      </c>
    </row>
    <row r="66" spans="1:9" ht="21" customHeight="1" x14ac:dyDescent="0.35">
      <c r="A66" s="124">
        <v>138</v>
      </c>
      <c r="B66" s="121" t="s">
        <v>134</v>
      </c>
      <c r="C66" s="121" t="s">
        <v>580</v>
      </c>
      <c r="D66" s="121" t="s">
        <v>616</v>
      </c>
      <c r="E66" s="338" t="s">
        <v>652</v>
      </c>
      <c r="F66" s="268" t="s">
        <v>693</v>
      </c>
      <c r="G66" s="339"/>
      <c r="H66" s="268" t="s">
        <v>130</v>
      </c>
    </row>
    <row r="67" spans="1:9" ht="21" customHeight="1" x14ac:dyDescent="0.35">
      <c r="A67" s="124">
        <v>139</v>
      </c>
      <c r="B67" s="121" t="s">
        <v>536</v>
      </c>
      <c r="C67" s="121" t="s">
        <v>463</v>
      </c>
      <c r="D67" s="121" t="s">
        <v>617</v>
      </c>
      <c r="E67" s="338" t="s">
        <v>653</v>
      </c>
      <c r="F67" s="268" t="s">
        <v>694</v>
      </c>
      <c r="G67" s="339"/>
      <c r="H67" s="268" t="s">
        <v>130</v>
      </c>
    </row>
    <row r="68" spans="1:9" ht="21" customHeight="1" x14ac:dyDescent="0.35">
      <c r="A68" s="124">
        <v>140</v>
      </c>
      <c r="B68" s="121" t="s">
        <v>537</v>
      </c>
      <c r="C68" s="121" t="s">
        <v>581</v>
      </c>
      <c r="D68" s="121" t="s">
        <v>602</v>
      </c>
      <c r="E68" s="338" t="s">
        <v>653</v>
      </c>
      <c r="F68" s="268" t="s">
        <v>695</v>
      </c>
      <c r="G68" s="339"/>
      <c r="H68" s="268" t="s">
        <v>130</v>
      </c>
    </row>
    <row r="69" spans="1:9" ht="21" customHeight="1" x14ac:dyDescent="0.35">
      <c r="A69" s="124">
        <v>141</v>
      </c>
      <c r="B69" s="121" t="s">
        <v>538</v>
      </c>
      <c r="C69" s="121" t="s">
        <v>582</v>
      </c>
      <c r="D69" s="121" t="s">
        <v>613</v>
      </c>
      <c r="E69" s="338" t="s">
        <v>654</v>
      </c>
      <c r="F69" s="268" t="s">
        <v>696</v>
      </c>
      <c r="G69" s="339"/>
      <c r="H69" s="268" t="s">
        <v>130</v>
      </c>
    </row>
    <row r="70" spans="1:9" ht="21" customHeight="1" x14ac:dyDescent="0.35">
      <c r="A70" s="124">
        <v>142</v>
      </c>
      <c r="B70" s="121" t="s">
        <v>539</v>
      </c>
      <c r="C70" s="121" t="s">
        <v>576</v>
      </c>
      <c r="D70" s="121" t="s">
        <v>482</v>
      </c>
      <c r="E70" s="338" t="s">
        <v>430</v>
      </c>
      <c r="F70" s="268" t="s">
        <v>697</v>
      </c>
      <c r="G70" s="339"/>
      <c r="H70" s="268" t="s">
        <v>130</v>
      </c>
      <c r="I70" s="268" t="s">
        <v>35</v>
      </c>
    </row>
    <row r="71" spans="1:9" ht="21" customHeight="1" x14ac:dyDescent="0.35">
      <c r="A71" s="124">
        <v>143</v>
      </c>
      <c r="B71" s="121" t="s">
        <v>540</v>
      </c>
      <c r="C71" s="121" t="s">
        <v>583</v>
      </c>
      <c r="D71" s="121" t="s">
        <v>482</v>
      </c>
      <c r="E71" s="338" t="s">
        <v>653</v>
      </c>
      <c r="F71" s="268" t="s">
        <v>698</v>
      </c>
      <c r="G71" s="339"/>
      <c r="H71" s="268" t="s">
        <v>130</v>
      </c>
      <c r="I71" s="268" t="s">
        <v>35</v>
      </c>
    </row>
    <row r="72" spans="1:9" ht="21" customHeight="1" x14ac:dyDescent="0.35">
      <c r="A72" s="124">
        <v>144</v>
      </c>
      <c r="B72" s="121" t="s">
        <v>541</v>
      </c>
      <c r="C72" s="121" t="s">
        <v>576</v>
      </c>
      <c r="D72" s="121" t="s">
        <v>482</v>
      </c>
      <c r="E72" s="338" t="s">
        <v>655</v>
      </c>
      <c r="F72" s="268" t="s">
        <v>699</v>
      </c>
      <c r="G72" s="339"/>
      <c r="H72" s="268" t="s">
        <v>130</v>
      </c>
      <c r="I72" s="268" t="s">
        <v>35</v>
      </c>
    </row>
    <row r="73" spans="1:9" ht="21" customHeight="1" x14ac:dyDescent="0.35">
      <c r="A73" s="124">
        <v>145</v>
      </c>
      <c r="B73" s="121" t="s">
        <v>618</v>
      </c>
      <c r="C73" s="121" t="s">
        <v>584</v>
      </c>
      <c r="D73" s="121" t="s">
        <v>619</v>
      </c>
      <c r="E73" s="338" t="s">
        <v>656</v>
      </c>
      <c r="F73" s="268" t="s">
        <v>700</v>
      </c>
      <c r="G73" s="339"/>
      <c r="H73" s="268" t="s">
        <v>130</v>
      </c>
    </row>
    <row r="74" spans="1:9" ht="21" customHeight="1" x14ac:dyDescent="0.35">
      <c r="A74" s="124">
        <v>146</v>
      </c>
      <c r="B74" s="121" t="s">
        <v>876</v>
      </c>
      <c r="C74" s="121" t="s">
        <v>583</v>
      </c>
      <c r="D74" s="121" t="s">
        <v>620</v>
      </c>
      <c r="E74" s="338" t="s">
        <v>646</v>
      </c>
      <c r="G74" s="339"/>
      <c r="H74" s="268" t="s">
        <v>130</v>
      </c>
    </row>
    <row r="75" spans="1:9" ht="21" customHeight="1" x14ac:dyDescent="0.35">
      <c r="A75" s="124">
        <v>147</v>
      </c>
      <c r="B75" s="121" t="s">
        <v>542</v>
      </c>
      <c r="C75" s="121" t="s">
        <v>585</v>
      </c>
      <c r="D75" s="121" t="s">
        <v>621</v>
      </c>
      <c r="E75" s="338" t="s">
        <v>653</v>
      </c>
      <c r="F75" s="268" t="s">
        <v>701</v>
      </c>
      <c r="G75" s="339"/>
      <c r="H75" s="268" t="s">
        <v>130</v>
      </c>
    </row>
    <row r="76" spans="1:9" ht="21" customHeight="1" x14ac:dyDescent="0.35">
      <c r="A76" s="124">
        <v>148</v>
      </c>
      <c r="B76" s="121" t="s">
        <v>543</v>
      </c>
      <c r="C76" s="121" t="s">
        <v>586</v>
      </c>
      <c r="D76" s="121" t="s">
        <v>622</v>
      </c>
      <c r="E76" s="338" t="s">
        <v>496</v>
      </c>
      <c r="F76" s="268" t="s">
        <v>702</v>
      </c>
      <c r="G76" s="339"/>
      <c r="H76" s="268" t="s">
        <v>130</v>
      </c>
    </row>
    <row r="77" spans="1:9" ht="21" customHeight="1" x14ac:dyDescent="0.35">
      <c r="A77" s="124">
        <v>149</v>
      </c>
      <c r="B77" s="121" t="s">
        <v>544</v>
      </c>
      <c r="C77" s="121" t="s">
        <v>587</v>
      </c>
      <c r="D77" s="121" t="s">
        <v>564</v>
      </c>
      <c r="E77" s="338" t="s">
        <v>644</v>
      </c>
      <c r="F77" s="268" t="s">
        <v>703</v>
      </c>
      <c r="G77" s="339"/>
    </row>
    <row r="78" spans="1:9" ht="21" customHeight="1" x14ac:dyDescent="0.35">
      <c r="A78" s="124">
        <v>150</v>
      </c>
      <c r="B78" s="121" t="s">
        <v>877</v>
      </c>
      <c r="C78" s="121" t="s">
        <v>588</v>
      </c>
      <c r="D78" s="121" t="s">
        <v>623</v>
      </c>
      <c r="E78" s="338" t="s">
        <v>653</v>
      </c>
      <c r="F78" s="268" t="s">
        <v>704</v>
      </c>
      <c r="G78" s="339"/>
      <c r="H78" s="268" t="s">
        <v>130</v>
      </c>
    </row>
    <row r="79" spans="1:9" ht="21" customHeight="1" x14ac:dyDescent="0.35">
      <c r="A79" s="124">
        <v>151</v>
      </c>
      <c r="B79" s="121" t="s">
        <v>545</v>
      </c>
      <c r="C79" s="121" t="s">
        <v>564</v>
      </c>
      <c r="D79" s="121" t="s">
        <v>486</v>
      </c>
      <c r="E79" s="338" t="s">
        <v>657</v>
      </c>
      <c r="F79" s="268" t="s">
        <v>705</v>
      </c>
      <c r="G79" s="339"/>
      <c r="I79" s="268" t="s">
        <v>35</v>
      </c>
    </row>
    <row r="80" spans="1:9" ht="21" customHeight="1" x14ac:dyDescent="0.35">
      <c r="A80" s="124">
        <v>152</v>
      </c>
      <c r="B80" s="121" t="s">
        <v>546</v>
      </c>
      <c r="C80" s="121" t="s">
        <v>589</v>
      </c>
      <c r="D80" s="121" t="s">
        <v>475</v>
      </c>
      <c r="E80" s="338" t="s">
        <v>491</v>
      </c>
      <c r="F80" s="268" t="s">
        <v>706</v>
      </c>
      <c r="G80" s="339"/>
      <c r="H80" s="268" t="s">
        <v>130</v>
      </c>
    </row>
    <row r="81" spans="1:10" ht="21" customHeight="1" x14ac:dyDescent="0.35">
      <c r="A81" s="124">
        <v>153</v>
      </c>
      <c r="B81" s="121" t="s">
        <v>547</v>
      </c>
      <c r="C81" s="121" t="s">
        <v>583</v>
      </c>
      <c r="D81" s="121" t="s">
        <v>624</v>
      </c>
      <c r="E81" s="338" t="s">
        <v>658</v>
      </c>
      <c r="F81" s="268" t="s">
        <v>707</v>
      </c>
      <c r="G81" s="339"/>
      <c r="H81" s="268" t="s">
        <v>130</v>
      </c>
    </row>
    <row r="82" spans="1:10" ht="21" customHeight="1" x14ac:dyDescent="0.35">
      <c r="A82" s="124">
        <v>154</v>
      </c>
      <c r="B82" s="121" t="s">
        <v>548</v>
      </c>
      <c r="C82" s="121" t="s">
        <v>468</v>
      </c>
      <c r="D82" s="121" t="s">
        <v>625</v>
      </c>
      <c r="E82" s="338" t="s">
        <v>637</v>
      </c>
      <c r="F82" s="268" t="s">
        <v>708</v>
      </c>
      <c r="G82" s="339"/>
      <c r="H82" s="268" t="s">
        <v>130</v>
      </c>
      <c r="J82" s="268" t="s">
        <v>133</v>
      </c>
    </row>
    <row r="83" spans="1:10" ht="21" customHeight="1" x14ac:dyDescent="0.35">
      <c r="A83" s="124">
        <v>155</v>
      </c>
      <c r="B83" s="121" t="s">
        <v>549</v>
      </c>
      <c r="C83" s="121" t="s">
        <v>590</v>
      </c>
      <c r="D83" s="121" t="s">
        <v>488</v>
      </c>
      <c r="E83" s="338" t="s">
        <v>659</v>
      </c>
      <c r="F83" s="268" t="s">
        <v>709</v>
      </c>
      <c r="G83" s="339"/>
      <c r="H83" s="268" t="s">
        <v>130</v>
      </c>
    </row>
    <row r="84" spans="1:10" ht="21" customHeight="1" x14ac:dyDescent="0.35">
      <c r="A84" s="124">
        <v>156</v>
      </c>
      <c r="B84" s="121" t="s">
        <v>135</v>
      </c>
      <c r="D84" s="121" t="s">
        <v>626</v>
      </c>
      <c r="E84" s="338" t="s">
        <v>660</v>
      </c>
      <c r="F84" s="268" t="s">
        <v>710</v>
      </c>
      <c r="G84" s="339"/>
      <c r="I84" s="268" t="s">
        <v>35</v>
      </c>
    </row>
    <row r="85" spans="1:10" ht="21" customHeight="1" x14ac:dyDescent="0.35">
      <c r="A85" s="124">
        <v>157</v>
      </c>
      <c r="B85" s="121" t="s">
        <v>1074</v>
      </c>
      <c r="C85" s="121" t="s">
        <v>1075</v>
      </c>
      <c r="D85" s="121" t="s">
        <v>1076</v>
      </c>
      <c r="F85" s="388" t="s">
        <v>1077</v>
      </c>
      <c r="G85" s="339">
        <v>3.5</v>
      </c>
      <c r="H85" s="268" t="s">
        <v>130</v>
      </c>
    </row>
    <row r="86" spans="1:10" ht="21" customHeight="1" x14ac:dyDescent="0.35">
      <c r="A86" s="124">
        <v>158</v>
      </c>
      <c r="G86" s="339"/>
    </row>
    <row r="87" spans="1:10" ht="21" customHeight="1" x14ac:dyDescent="0.35">
      <c r="G87" s="339"/>
    </row>
    <row r="88" spans="1:10" ht="21" customHeight="1" x14ac:dyDescent="0.35">
      <c r="G88" s="339"/>
    </row>
    <row r="89" spans="1:10" ht="21" customHeight="1" x14ac:dyDescent="0.3">
      <c r="A89" s="605" t="s">
        <v>880</v>
      </c>
      <c r="B89" s="605"/>
      <c r="C89" s="605"/>
      <c r="D89" s="605"/>
      <c r="E89" s="605"/>
      <c r="F89" s="605"/>
      <c r="G89" s="605"/>
      <c r="H89" s="605"/>
      <c r="I89" s="605"/>
      <c r="J89" s="605"/>
    </row>
    <row r="90" spans="1:10" ht="21" customHeight="1" x14ac:dyDescent="0.35">
      <c r="A90" s="124">
        <v>201</v>
      </c>
      <c r="B90" s="121" t="s">
        <v>878</v>
      </c>
      <c r="D90" s="121" t="s">
        <v>625</v>
      </c>
      <c r="G90" s="339"/>
      <c r="H90" s="268" t="s">
        <v>130</v>
      </c>
      <c r="J90" s="268" t="s">
        <v>133</v>
      </c>
    </row>
    <row r="91" spans="1:10" ht="21" customHeight="1" x14ac:dyDescent="0.35">
      <c r="A91" s="124">
        <v>202</v>
      </c>
      <c r="B91" s="121" t="s">
        <v>879</v>
      </c>
      <c r="D91" s="121" t="s">
        <v>625</v>
      </c>
      <c r="F91" s="268" t="s">
        <v>631</v>
      </c>
      <c r="G91" s="339"/>
      <c r="H91" s="268" t="s">
        <v>130</v>
      </c>
      <c r="J91" s="268" t="s">
        <v>133</v>
      </c>
    </row>
    <row r="92" spans="1:10" ht="21" customHeight="1" x14ac:dyDescent="0.35">
      <c r="A92" s="124">
        <v>203</v>
      </c>
      <c r="G92" s="339"/>
    </row>
    <row r="93" spans="1:10" ht="21" customHeight="1" x14ac:dyDescent="0.35">
      <c r="A93" s="124">
        <v>204</v>
      </c>
      <c r="G93" s="339"/>
    </row>
  </sheetData>
  <mergeCells count="5">
    <mergeCell ref="H1:J1"/>
    <mergeCell ref="A3:J3"/>
    <mergeCell ref="A28:J28"/>
    <mergeCell ref="A89:J89"/>
    <mergeCell ref="G1:G2"/>
  </mergeCells>
  <phoneticPr fontId="0" type="noConversion"/>
  <pageMargins left="0.75" right="0.75" top="1" bottom="1" header="0.51180555555555551" footer="0.51180555555555551"/>
  <pageSetup paperSize="9" scale="86" firstPageNumber="0" fitToHeight="4" orientation="landscape" horizontalDpi="300" verticalDpi="300" r:id="rId1"/>
  <headerFooter alignWithMargins="0">
    <oddHeader>&amp;L&amp;"Comic Sans MS,Standaard"&amp;8versie 6, maart 2014&amp;R&amp;"Comic Sans MS,Standaard"&amp;8svu/th/whp</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D90"/>
  <sheetViews>
    <sheetView showZeros="0" topLeftCell="A43" workbookViewId="0">
      <selection activeCell="A29" sqref="A29:XFD29"/>
    </sheetView>
  </sheetViews>
  <sheetFormatPr defaultColWidth="9.140625" defaultRowHeight="20.100000000000001" customHeight="1" x14ac:dyDescent="0.3"/>
  <cols>
    <col min="1" max="1" width="10.140625" style="126" customWidth="1"/>
    <col min="2" max="2" width="40.140625" style="121" customWidth="1"/>
    <col min="3" max="3" width="41.7109375" style="125" customWidth="1"/>
    <col min="4" max="4" width="29.5703125" style="125" customWidth="1"/>
    <col min="5" max="16384" width="9.140625" style="121"/>
  </cols>
  <sheetData>
    <row r="1" spans="1:4" s="126" customFormat="1" ht="20.100000000000001" customHeight="1" thickBot="1" x14ac:dyDescent="0.25">
      <c r="A1" s="255" t="s">
        <v>109</v>
      </c>
      <c r="B1" s="256" t="s">
        <v>717</v>
      </c>
      <c r="C1" s="257" t="s">
        <v>136</v>
      </c>
      <c r="D1" s="257" t="s">
        <v>39</v>
      </c>
    </row>
    <row r="2" spans="1:4" ht="20.100000000000001" customHeight="1" thickBot="1" x14ac:dyDescent="0.4">
      <c r="A2" s="261">
        <v>0</v>
      </c>
      <c r="B2" s="258" t="s">
        <v>137</v>
      </c>
      <c r="C2" s="259"/>
      <c r="D2" s="260"/>
    </row>
    <row r="3" spans="1:4" ht="20.100000000000001" customHeight="1" thickBot="1" x14ac:dyDescent="0.4">
      <c r="A3" s="251"/>
      <c r="B3" s="252" t="s">
        <v>789</v>
      </c>
      <c r="C3" s="253"/>
      <c r="D3" s="254"/>
    </row>
    <row r="4" spans="1:4" ht="36.75" customHeight="1" x14ac:dyDescent="0.3">
      <c r="A4" s="221">
        <v>1</v>
      </c>
      <c r="B4" s="127" t="s">
        <v>791</v>
      </c>
      <c r="C4" s="125" t="s">
        <v>793</v>
      </c>
      <c r="D4" s="125" t="s">
        <v>139</v>
      </c>
    </row>
    <row r="5" spans="1:4" ht="36.75" customHeight="1" x14ac:dyDescent="0.3">
      <c r="A5" s="221">
        <v>2</v>
      </c>
      <c r="B5" s="127" t="s">
        <v>795</v>
      </c>
      <c r="C5" s="125" t="s">
        <v>796</v>
      </c>
    </row>
    <row r="6" spans="1:4" ht="20.100000000000001" customHeight="1" x14ac:dyDescent="0.3">
      <c r="A6" s="221">
        <v>3</v>
      </c>
      <c r="B6" s="127" t="s">
        <v>790</v>
      </c>
      <c r="C6" s="125" t="s">
        <v>792</v>
      </c>
      <c r="D6" s="125" t="s">
        <v>794</v>
      </c>
    </row>
    <row r="7" spans="1:4" ht="20.100000000000001" customHeight="1" x14ac:dyDescent="0.3">
      <c r="A7" s="221"/>
      <c r="B7" s="127"/>
    </row>
    <row r="8" spans="1:4" ht="20.100000000000001" customHeight="1" thickBot="1" x14ac:dyDescent="0.35">
      <c r="A8" s="225"/>
      <c r="B8" s="200" t="s">
        <v>944</v>
      </c>
      <c r="C8" s="608" t="s">
        <v>988</v>
      </c>
      <c r="D8" s="608"/>
    </row>
    <row r="9" spans="1:4" ht="20.100000000000001" customHeight="1" x14ac:dyDescent="0.3">
      <c r="A9" s="221">
        <v>101</v>
      </c>
      <c r="B9" s="198" t="s">
        <v>718</v>
      </c>
      <c r="C9" s="198" t="s">
        <v>729</v>
      </c>
      <c r="D9" s="128" t="s">
        <v>989</v>
      </c>
    </row>
    <row r="10" spans="1:4" ht="20.100000000000001" customHeight="1" x14ac:dyDescent="0.3">
      <c r="A10" s="221">
        <v>102</v>
      </c>
      <c r="B10" s="198" t="s">
        <v>719</v>
      </c>
      <c r="C10" s="198" t="s">
        <v>730</v>
      </c>
      <c r="D10" s="128" t="s">
        <v>989</v>
      </c>
    </row>
    <row r="11" spans="1:4" ht="20.100000000000001" customHeight="1" x14ac:dyDescent="0.3">
      <c r="A11" s="221">
        <v>103</v>
      </c>
      <c r="B11" s="198" t="s">
        <v>722</v>
      </c>
      <c r="C11" s="198" t="s">
        <v>734</v>
      </c>
      <c r="D11" s="128" t="s">
        <v>989</v>
      </c>
    </row>
    <row r="12" spans="1:4" ht="20.100000000000001" customHeight="1" x14ac:dyDescent="0.3">
      <c r="A12" s="221">
        <v>104</v>
      </c>
      <c r="B12" s="198" t="s">
        <v>720</v>
      </c>
      <c r="C12" s="198" t="s">
        <v>733</v>
      </c>
      <c r="D12" s="128" t="s">
        <v>989</v>
      </c>
    </row>
    <row r="13" spans="1:4" ht="20.100000000000001" customHeight="1" x14ac:dyDescent="0.3">
      <c r="A13" s="221">
        <v>105</v>
      </c>
      <c r="B13" s="198" t="s">
        <v>721</v>
      </c>
      <c r="C13" s="198" t="s">
        <v>732</v>
      </c>
      <c r="D13" s="128" t="s">
        <v>989</v>
      </c>
    </row>
    <row r="14" spans="1:4" ht="20.100000000000001" customHeight="1" x14ac:dyDescent="0.3">
      <c r="A14" s="221">
        <v>106</v>
      </c>
      <c r="B14" s="198" t="s">
        <v>723</v>
      </c>
      <c r="C14" s="198" t="s">
        <v>735</v>
      </c>
      <c r="D14" s="128" t="s">
        <v>989</v>
      </c>
    </row>
    <row r="15" spans="1:4" ht="20.100000000000001" customHeight="1" x14ac:dyDescent="0.3">
      <c r="A15" s="221">
        <v>107</v>
      </c>
      <c r="B15" s="198" t="s">
        <v>724</v>
      </c>
      <c r="C15" s="198" t="s">
        <v>736</v>
      </c>
      <c r="D15" s="128" t="s">
        <v>989</v>
      </c>
    </row>
    <row r="16" spans="1:4" ht="20.100000000000001" customHeight="1" x14ac:dyDescent="0.3">
      <c r="A16" s="221">
        <v>108</v>
      </c>
      <c r="B16" s="198" t="s">
        <v>725</v>
      </c>
      <c r="C16" s="198" t="s">
        <v>737</v>
      </c>
      <c r="D16" s="128" t="s">
        <v>989</v>
      </c>
    </row>
    <row r="17" spans="1:4" ht="20.100000000000001" customHeight="1" x14ac:dyDescent="0.3">
      <c r="A17" s="221">
        <v>109</v>
      </c>
      <c r="B17" s="198" t="s">
        <v>726</v>
      </c>
      <c r="C17" s="198" t="s">
        <v>738</v>
      </c>
      <c r="D17" s="128" t="s">
        <v>989</v>
      </c>
    </row>
    <row r="18" spans="1:4" ht="20.100000000000001" customHeight="1" x14ac:dyDescent="0.3">
      <c r="A18" s="221">
        <v>110</v>
      </c>
      <c r="B18" s="198" t="s">
        <v>727</v>
      </c>
      <c r="C18" s="198" t="s">
        <v>739</v>
      </c>
      <c r="D18" s="128" t="s">
        <v>989</v>
      </c>
    </row>
    <row r="19" spans="1:4" ht="20.100000000000001" customHeight="1" x14ac:dyDescent="0.3">
      <c r="A19" s="221">
        <v>111</v>
      </c>
      <c r="B19" s="198" t="s">
        <v>728</v>
      </c>
      <c r="C19" s="198" t="s">
        <v>740</v>
      </c>
      <c r="D19" s="128" t="s">
        <v>989</v>
      </c>
    </row>
    <row r="20" spans="1:4" ht="20.100000000000001" customHeight="1" x14ac:dyDescent="0.3">
      <c r="A20" s="221">
        <v>112</v>
      </c>
      <c r="B20" s="198" t="s">
        <v>731</v>
      </c>
      <c r="C20" s="198" t="s">
        <v>741</v>
      </c>
      <c r="D20" s="128" t="s">
        <v>989</v>
      </c>
    </row>
    <row r="21" spans="1:4" ht="20.100000000000001" customHeight="1" x14ac:dyDescent="0.3">
      <c r="A21" s="221">
        <v>113</v>
      </c>
      <c r="B21" s="198" t="s">
        <v>886</v>
      </c>
      <c r="C21" s="198" t="s">
        <v>984</v>
      </c>
      <c r="D21" s="128" t="s">
        <v>990</v>
      </c>
    </row>
    <row r="22" spans="1:4" ht="20.100000000000001" customHeight="1" x14ac:dyDescent="0.3">
      <c r="A22" s="221">
        <v>114</v>
      </c>
      <c r="B22" s="198" t="s">
        <v>980</v>
      </c>
      <c r="C22" s="198" t="s">
        <v>983</v>
      </c>
      <c r="D22" s="128" t="s">
        <v>990</v>
      </c>
    </row>
    <row r="23" spans="1:4" ht="20.100000000000001" customHeight="1" x14ac:dyDescent="0.3">
      <c r="A23" s="221">
        <v>115</v>
      </c>
      <c r="B23" s="198" t="s">
        <v>981</v>
      </c>
      <c r="C23" s="198" t="s">
        <v>959</v>
      </c>
      <c r="D23" s="128" t="s">
        <v>990</v>
      </c>
    </row>
    <row r="24" spans="1:4" ht="20.100000000000001" customHeight="1" x14ac:dyDescent="0.3">
      <c r="A24" s="221">
        <v>116</v>
      </c>
      <c r="B24" s="198" t="s">
        <v>982</v>
      </c>
      <c r="C24" s="198" t="s">
        <v>985</v>
      </c>
      <c r="D24" s="128" t="s">
        <v>990</v>
      </c>
    </row>
    <row r="25" spans="1:4" ht="20.100000000000001" customHeight="1" x14ac:dyDescent="0.3">
      <c r="A25" s="221">
        <v>117</v>
      </c>
      <c r="B25" s="198" t="s">
        <v>986</v>
      </c>
      <c r="C25" s="198" t="s">
        <v>987</v>
      </c>
      <c r="D25" s="128" t="s">
        <v>990</v>
      </c>
    </row>
    <row r="26" spans="1:4" ht="20.100000000000001" customHeight="1" x14ac:dyDescent="0.3">
      <c r="A26" s="221">
        <v>118</v>
      </c>
      <c r="B26" s="198" t="s">
        <v>993</v>
      </c>
      <c r="C26" s="198" t="s">
        <v>968</v>
      </c>
      <c r="D26" s="128" t="s">
        <v>989</v>
      </c>
    </row>
    <row r="27" spans="1:4" ht="20.100000000000001" customHeight="1" x14ac:dyDescent="0.3">
      <c r="A27" s="221">
        <v>119</v>
      </c>
      <c r="B27" s="198" t="s">
        <v>994</v>
      </c>
      <c r="C27" s="198" t="s">
        <v>987</v>
      </c>
      <c r="D27" s="128" t="s">
        <v>989</v>
      </c>
    </row>
    <row r="28" spans="1:4" ht="20.100000000000001" customHeight="1" x14ac:dyDescent="0.3">
      <c r="A28" s="221">
        <v>120</v>
      </c>
      <c r="B28" s="198" t="s">
        <v>995</v>
      </c>
      <c r="C28" s="198" t="s">
        <v>739</v>
      </c>
      <c r="D28" s="128" t="s">
        <v>989</v>
      </c>
    </row>
    <row r="29" spans="1:4" ht="20.100000000000001" customHeight="1" x14ac:dyDescent="0.3">
      <c r="A29" s="221">
        <v>121</v>
      </c>
      <c r="B29" s="198" t="s">
        <v>1085</v>
      </c>
      <c r="C29" s="198" t="s">
        <v>1086</v>
      </c>
      <c r="D29" s="128"/>
    </row>
    <row r="30" spans="1:4" ht="20.100000000000001" customHeight="1" x14ac:dyDescent="0.3">
      <c r="A30" s="221">
        <v>122</v>
      </c>
      <c r="B30" s="198" t="s">
        <v>1082</v>
      </c>
      <c r="C30" s="198" t="s">
        <v>1083</v>
      </c>
      <c r="D30" s="128" t="s">
        <v>1084</v>
      </c>
    </row>
    <row r="31" spans="1:4" ht="20.100000000000001" customHeight="1" x14ac:dyDescent="0.3">
      <c r="A31" s="221"/>
      <c r="B31" s="198"/>
      <c r="C31" s="198"/>
      <c r="D31" s="128"/>
    </row>
    <row r="32" spans="1:4" ht="20.100000000000001" customHeight="1" x14ac:dyDescent="0.3">
      <c r="A32" s="226"/>
      <c r="B32" s="199" t="s">
        <v>797</v>
      </c>
      <c r="C32" s="607" t="s">
        <v>991</v>
      </c>
      <c r="D32" s="607"/>
    </row>
    <row r="33" spans="1:4" s="129" customFormat="1" ht="20.100000000000001" customHeight="1" x14ac:dyDescent="0.3">
      <c r="A33" s="126">
        <v>201</v>
      </c>
      <c r="B33" s="129" t="s">
        <v>743</v>
      </c>
      <c r="C33" s="130" t="s">
        <v>968</v>
      </c>
      <c r="D33" s="128" t="s">
        <v>989</v>
      </c>
    </row>
    <row r="34" spans="1:4" s="123" customFormat="1" ht="20.100000000000001" customHeight="1" x14ac:dyDescent="0.3">
      <c r="A34" s="221">
        <v>202</v>
      </c>
      <c r="B34" s="123" t="s">
        <v>745</v>
      </c>
      <c r="C34" s="130" t="s">
        <v>968</v>
      </c>
      <c r="D34" s="128" t="s">
        <v>989</v>
      </c>
    </row>
    <row r="35" spans="1:4" s="123" customFormat="1" ht="20.100000000000001" customHeight="1" x14ac:dyDescent="0.3">
      <c r="A35" s="126">
        <v>203</v>
      </c>
      <c r="B35" s="129" t="s">
        <v>746</v>
      </c>
      <c r="C35" s="130" t="s">
        <v>968</v>
      </c>
      <c r="D35" s="128" t="s">
        <v>989</v>
      </c>
    </row>
    <row r="36" spans="1:4" ht="20.100000000000001" customHeight="1" x14ac:dyDescent="0.3">
      <c r="A36" s="221">
        <v>204</v>
      </c>
      <c r="B36" s="121" t="s">
        <v>747</v>
      </c>
      <c r="C36" s="125" t="s">
        <v>798</v>
      </c>
      <c r="D36" s="128" t="s">
        <v>989</v>
      </c>
    </row>
    <row r="37" spans="1:4" ht="20.100000000000001" customHeight="1" x14ac:dyDescent="0.3">
      <c r="A37" s="126">
        <v>205</v>
      </c>
      <c r="B37" s="121" t="s">
        <v>748</v>
      </c>
      <c r="C37" s="130" t="s">
        <v>968</v>
      </c>
      <c r="D37" s="128" t="s">
        <v>989</v>
      </c>
    </row>
    <row r="38" spans="1:4" ht="20.100000000000001" customHeight="1" x14ac:dyDescent="0.3">
      <c r="A38" s="221">
        <v>206</v>
      </c>
      <c r="B38" s="121" t="s">
        <v>749</v>
      </c>
      <c r="C38" s="130" t="s">
        <v>968</v>
      </c>
      <c r="D38" s="128" t="s">
        <v>989</v>
      </c>
    </row>
    <row r="39" spans="1:4" ht="20.100000000000001" customHeight="1" x14ac:dyDescent="0.3">
      <c r="A39" s="126">
        <v>207</v>
      </c>
      <c r="B39" s="121" t="s">
        <v>750</v>
      </c>
      <c r="C39" s="130" t="s">
        <v>968</v>
      </c>
      <c r="D39" s="128" t="s">
        <v>989</v>
      </c>
    </row>
    <row r="40" spans="1:4" ht="20.100000000000001" customHeight="1" x14ac:dyDescent="0.3">
      <c r="A40" s="221">
        <v>208</v>
      </c>
      <c r="B40" s="121" t="s">
        <v>751</v>
      </c>
      <c r="C40" s="130" t="s">
        <v>968</v>
      </c>
      <c r="D40" s="128" t="s">
        <v>989</v>
      </c>
    </row>
    <row r="41" spans="1:4" ht="20.100000000000001" customHeight="1" x14ac:dyDescent="0.3">
      <c r="A41" s="126">
        <v>209</v>
      </c>
      <c r="B41" s="121" t="s">
        <v>753</v>
      </c>
      <c r="C41" s="130" t="s">
        <v>968</v>
      </c>
      <c r="D41" s="128" t="s">
        <v>989</v>
      </c>
    </row>
    <row r="42" spans="1:4" ht="20.100000000000001" customHeight="1" x14ac:dyDescent="0.3">
      <c r="A42" s="221">
        <v>210</v>
      </c>
      <c r="B42" s="121" t="s">
        <v>754</v>
      </c>
      <c r="C42" s="125" t="s">
        <v>799</v>
      </c>
      <c r="D42" s="128" t="s">
        <v>989</v>
      </c>
    </row>
    <row r="43" spans="1:4" ht="20.100000000000001" customHeight="1" x14ac:dyDescent="0.3">
      <c r="A43" s="126">
        <v>211</v>
      </c>
      <c r="B43" s="121" t="s">
        <v>755</v>
      </c>
      <c r="C43" s="130" t="s">
        <v>968</v>
      </c>
      <c r="D43" s="128" t="s">
        <v>989</v>
      </c>
    </row>
    <row r="44" spans="1:4" ht="20.100000000000001" customHeight="1" x14ac:dyDescent="0.3">
      <c r="A44" s="221">
        <v>212</v>
      </c>
      <c r="B44" s="121" t="s">
        <v>756</v>
      </c>
      <c r="C44" s="125" t="s">
        <v>801</v>
      </c>
      <c r="D44" s="128" t="s">
        <v>989</v>
      </c>
    </row>
    <row r="45" spans="1:4" ht="20.100000000000001" customHeight="1" x14ac:dyDescent="0.3">
      <c r="A45" s="126">
        <v>213</v>
      </c>
      <c r="B45" s="121" t="s">
        <v>757</v>
      </c>
      <c r="C45" s="130" t="s">
        <v>968</v>
      </c>
      <c r="D45" s="128" t="s">
        <v>989</v>
      </c>
    </row>
    <row r="46" spans="1:4" ht="20.100000000000001" customHeight="1" x14ac:dyDescent="0.3">
      <c r="A46" s="221">
        <v>214</v>
      </c>
      <c r="B46" s="121" t="s">
        <v>758</v>
      </c>
      <c r="C46" s="125" t="s">
        <v>800</v>
      </c>
      <c r="D46" s="128" t="s">
        <v>989</v>
      </c>
    </row>
    <row r="47" spans="1:4" ht="20.100000000000001" customHeight="1" x14ac:dyDescent="0.3">
      <c r="A47" s="126">
        <v>215</v>
      </c>
      <c r="B47" s="121" t="s">
        <v>759</v>
      </c>
      <c r="C47" s="130" t="s">
        <v>968</v>
      </c>
      <c r="D47" s="128" t="s">
        <v>989</v>
      </c>
    </row>
    <row r="48" spans="1:4" ht="20.100000000000001" customHeight="1" x14ac:dyDescent="0.3">
      <c r="A48" s="221">
        <v>216</v>
      </c>
      <c r="B48" s="121" t="s">
        <v>802</v>
      </c>
      <c r="C48" s="125" t="s">
        <v>969</v>
      </c>
      <c r="D48" s="128" t="s">
        <v>989</v>
      </c>
    </row>
    <row r="49" spans="1:4" ht="20.100000000000001" customHeight="1" x14ac:dyDescent="0.3">
      <c r="A49" s="221"/>
      <c r="D49" s="130"/>
    </row>
    <row r="50" spans="1:4" ht="20.100000000000001" customHeight="1" x14ac:dyDescent="0.3">
      <c r="A50" s="222"/>
      <c r="B50" s="199" t="s">
        <v>945</v>
      </c>
      <c r="C50" s="607" t="s">
        <v>991</v>
      </c>
      <c r="D50" s="607"/>
    </row>
    <row r="51" spans="1:4" ht="20.100000000000001" customHeight="1" x14ac:dyDescent="0.3">
      <c r="A51" s="221">
        <v>301</v>
      </c>
      <c r="B51" s="121" t="s">
        <v>760</v>
      </c>
      <c r="C51" s="125" t="s">
        <v>967</v>
      </c>
      <c r="D51" s="128" t="s">
        <v>989</v>
      </c>
    </row>
    <row r="52" spans="1:4" ht="20.100000000000001" customHeight="1" x14ac:dyDescent="0.3">
      <c r="A52" s="221">
        <v>302</v>
      </c>
      <c r="B52" s="121" t="s">
        <v>761</v>
      </c>
      <c r="C52" s="125" t="s">
        <v>967</v>
      </c>
      <c r="D52" s="128" t="s">
        <v>989</v>
      </c>
    </row>
    <row r="53" spans="1:4" ht="20.100000000000001" customHeight="1" x14ac:dyDescent="0.3">
      <c r="A53" s="221">
        <v>303</v>
      </c>
      <c r="B53" s="121" t="s">
        <v>762</v>
      </c>
      <c r="C53" s="125" t="s">
        <v>967</v>
      </c>
      <c r="D53" s="128" t="s">
        <v>989</v>
      </c>
    </row>
    <row r="54" spans="1:4" ht="20.100000000000001" customHeight="1" x14ac:dyDescent="0.3">
      <c r="A54" s="221">
        <v>304</v>
      </c>
      <c r="B54" s="121" t="s">
        <v>763</v>
      </c>
      <c r="C54" s="125" t="s">
        <v>967</v>
      </c>
      <c r="D54" s="128" t="s">
        <v>989</v>
      </c>
    </row>
    <row r="55" spans="1:4" ht="20.100000000000001" customHeight="1" x14ac:dyDescent="0.3">
      <c r="A55" s="221">
        <v>305</v>
      </c>
      <c r="B55" s="121" t="s">
        <v>766</v>
      </c>
      <c r="C55" s="125" t="s">
        <v>967</v>
      </c>
      <c r="D55" s="128" t="s">
        <v>989</v>
      </c>
    </row>
    <row r="56" spans="1:4" ht="20.100000000000001" customHeight="1" x14ac:dyDescent="0.3">
      <c r="A56" s="221">
        <v>306</v>
      </c>
      <c r="B56" s="121" t="s">
        <v>764</v>
      </c>
      <c r="C56" s="125" t="s">
        <v>967</v>
      </c>
      <c r="D56" s="128" t="s">
        <v>989</v>
      </c>
    </row>
    <row r="57" spans="1:4" ht="20.100000000000001" customHeight="1" x14ac:dyDescent="0.3">
      <c r="A57" s="221">
        <v>307</v>
      </c>
      <c r="B57" s="201" t="s">
        <v>765</v>
      </c>
      <c r="C57" s="125" t="s">
        <v>967</v>
      </c>
      <c r="D57" s="128" t="s">
        <v>989</v>
      </c>
    </row>
    <row r="58" spans="1:4" ht="20.100000000000001" customHeight="1" x14ac:dyDescent="0.3">
      <c r="A58" s="221">
        <v>308</v>
      </c>
      <c r="B58" s="121" t="s">
        <v>767</v>
      </c>
      <c r="C58" s="125" t="s">
        <v>967</v>
      </c>
      <c r="D58" s="128" t="s">
        <v>989</v>
      </c>
    </row>
    <row r="59" spans="1:4" ht="20.100000000000001" customHeight="1" x14ac:dyDescent="0.3">
      <c r="A59" s="221">
        <v>309</v>
      </c>
      <c r="B59" s="121" t="s">
        <v>768</v>
      </c>
      <c r="C59" s="125" t="s">
        <v>803</v>
      </c>
      <c r="D59" s="128" t="s">
        <v>989</v>
      </c>
    </row>
    <row r="60" spans="1:4" ht="20.100000000000001" customHeight="1" x14ac:dyDescent="0.3">
      <c r="A60" s="221">
        <v>310</v>
      </c>
      <c r="B60" s="121" t="s">
        <v>769</v>
      </c>
      <c r="C60" s="125" t="s">
        <v>804</v>
      </c>
      <c r="D60" s="128" t="s">
        <v>989</v>
      </c>
    </row>
    <row r="61" spans="1:4" ht="20.100000000000001" customHeight="1" x14ac:dyDescent="0.3">
      <c r="A61" s="221">
        <v>311</v>
      </c>
      <c r="B61" s="121" t="s">
        <v>770</v>
      </c>
      <c r="C61" s="125" t="s">
        <v>967</v>
      </c>
      <c r="D61" s="128" t="s">
        <v>989</v>
      </c>
    </row>
    <row r="62" spans="1:4" ht="20.100000000000001" customHeight="1" x14ac:dyDescent="0.3">
      <c r="A62" s="221">
        <v>312</v>
      </c>
      <c r="B62" s="121" t="s">
        <v>771</v>
      </c>
      <c r="C62" s="125" t="s">
        <v>805</v>
      </c>
      <c r="D62" s="128" t="s">
        <v>989</v>
      </c>
    </row>
    <row r="63" spans="1:4" ht="20.100000000000001" customHeight="1" x14ac:dyDescent="0.3">
      <c r="A63" s="221"/>
      <c r="D63" s="130"/>
    </row>
    <row r="64" spans="1:4" ht="20.100000000000001" customHeight="1" x14ac:dyDescent="0.3">
      <c r="A64" s="222"/>
      <c r="B64" s="199" t="s">
        <v>946</v>
      </c>
      <c r="C64" s="607" t="s">
        <v>991</v>
      </c>
      <c r="D64" s="607"/>
    </row>
    <row r="65" spans="1:4" ht="20.100000000000001" customHeight="1" x14ac:dyDescent="0.3">
      <c r="A65" s="126">
        <v>401</v>
      </c>
      <c r="B65" s="129" t="s">
        <v>744</v>
      </c>
      <c r="C65" s="130" t="s">
        <v>742</v>
      </c>
      <c r="D65" s="130"/>
    </row>
    <row r="66" spans="1:4" ht="20.100000000000001" customHeight="1" x14ac:dyDescent="0.3">
      <c r="A66" s="126">
        <v>402</v>
      </c>
      <c r="B66" s="121" t="s">
        <v>806</v>
      </c>
      <c r="C66" s="125" t="s">
        <v>963</v>
      </c>
      <c r="D66" s="130"/>
    </row>
    <row r="67" spans="1:4" ht="20.100000000000001" customHeight="1" x14ac:dyDescent="0.3">
      <c r="A67" s="126">
        <v>403</v>
      </c>
      <c r="B67" s="121" t="s">
        <v>772</v>
      </c>
      <c r="C67" s="125" t="s">
        <v>961</v>
      </c>
      <c r="D67" s="130"/>
    </row>
    <row r="68" spans="1:4" ht="20.100000000000001" customHeight="1" x14ac:dyDescent="0.3">
      <c r="A68" s="126">
        <v>404</v>
      </c>
      <c r="B68" s="121" t="s">
        <v>773</v>
      </c>
      <c r="C68" s="125" t="s">
        <v>962</v>
      </c>
      <c r="D68" s="130"/>
    </row>
    <row r="69" spans="1:4" ht="20.100000000000001" customHeight="1" x14ac:dyDescent="0.3">
      <c r="A69" s="126">
        <v>405</v>
      </c>
      <c r="B69" s="121" t="s">
        <v>774</v>
      </c>
      <c r="C69" s="125" t="s">
        <v>963</v>
      </c>
      <c r="D69" s="130"/>
    </row>
    <row r="70" spans="1:4" ht="20.100000000000001" customHeight="1" x14ac:dyDescent="0.3">
      <c r="D70" s="130"/>
    </row>
    <row r="71" spans="1:4" ht="20.100000000000001" customHeight="1" x14ac:dyDescent="0.3">
      <c r="A71" s="227"/>
      <c r="B71" s="199" t="s">
        <v>947</v>
      </c>
      <c r="C71" s="607" t="s">
        <v>991</v>
      </c>
      <c r="D71" s="607"/>
    </row>
    <row r="72" spans="1:4" ht="20.100000000000001" customHeight="1" x14ac:dyDescent="0.3">
      <c r="A72" s="126">
        <v>501</v>
      </c>
      <c r="B72" s="201" t="s">
        <v>781</v>
      </c>
      <c r="C72" s="125" t="s">
        <v>965</v>
      </c>
      <c r="D72" s="128"/>
    </row>
    <row r="73" spans="1:4" ht="20.100000000000001" customHeight="1" x14ac:dyDescent="0.3">
      <c r="A73" s="126">
        <v>502</v>
      </c>
      <c r="B73" s="201" t="s">
        <v>782</v>
      </c>
      <c r="C73" s="125" t="s">
        <v>964</v>
      </c>
      <c r="D73" s="128"/>
    </row>
    <row r="74" spans="1:4" ht="20.100000000000001" customHeight="1" x14ac:dyDescent="0.3">
      <c r="A74" s="126">
        <v>503</v>
      </c>
      <c r="B74" s="201" t="s">
        <v>783</v>
      </c>
      <c r="C74" s="125" t="s">
        <v>966</v>
      </c>
      <c r="D74" s="128"/>
    </row>
    <row r="75" spans="1:4" ht="20.100000000000001" customHeight="1" x14ac:dyDescent="0.3">
      <c r="B75" s="201"/>
    </row>
    <row r="76" spans="1:4" ht="20.100000000000001" customHeight="1" x14ac:dyDescent="0.3">
      <c r="A76" s="227"/>
      <c r="B76" s="199" t="s">
        <v>948</v>
      </c>
      <c r="C76" s="607" t="s">
        <v>991</v>
      </c>
      <c r="D76" s="607"/>
    </row>
    <row r="77" spans="1:4" ht="20.100000000000001" customHeight="1" x14ac:dyDescent="0.3">
      <c r="A77" s="221">
        <v>601</v>
      </c>
      <c r="B77" s="121" t="s">
        <v>752</v>
      </c>
      <c r="C77" s="125" t="s">
        <v>960</v>
      </c>
      <c r="D77" s="130"/>
    </row>
    <row r="78" spans="1:4" ht="20.100000000000001" customHeight="1" x14ac:dyDescent="0.3">
      <c r="A78" s="221">
        <v>602</v>
      </c>
      <c r="B78" s="121" t="s">
        <v>776</v>
      </c>
      <c r="C78" s="125" t="s">
        <v>979</v>
      </c>
      <c r="D78" s="130"/>
    </row>
    <row r="79" spans="1:4" ht="20.100000000000001" customHeight="1" x14ac:dyDescent="0.3">
      <c r="A79" s="221">
        <v>603</v>
      </c>
      <c r="B79" s="121" t="s">
        <v>777</v>
      </c>
      <c r="C79" s="125" t="s">
        <v>979</v>
      </c>
      <c r="D79" s="130"/>
    </row>
    <row r="80" spans="1:4" ht="20.100000000000001" customHeight="1" x14ac:dyDescent="0.3">
      <c r="A80" s="221">
        <v>604</v>
      </c>
      <c r="B80" s="121" t="s">
        <v>778</v>
      </c>
      <c r="C80" s="125" t="s">
        <v>970</v>
      </c>
      <c r="D80" s="130"/>
    </row>
    <row r="81" spans="1:4" ht="20.100000000000001" customHeight="1" x14ac:dyDescent="0.3">
      <c r="A81" s="221">
        <v>605</v>
      </c>
      <c r="B81" s="121" t="s">
        <v>779</v>
      </c>
      <c r="C81" s="125" t="s">
        <v>978</v>
      </c>
      <c r="D81" s="130"/>
    </row>
    <row r="82" spans="1:4" ht="20.100000000000001" customHeight="1" x14ac:dyDescent="0.3">
      <c r="A82" s="221">
        <v>606</v>
      </c>
      <c r="B82" s="121" t="s">
        <v>780</v>
      </c>
      <c r="C82" s="125" t="s">
        <v>976</v>
      </c>
      <c r="D82" s="130"/>
    </row>
    <row r="83" spans="1:4" ht="20.100000000000001" customHeight="1" x14ac:dyDescent="0.3">
      <c r="A83" s="221">
        <v>607</v>
      </c>
      <c r="B83" s="201" t="s">
        <v>784</v>
      </c>
      <c r="C83" s="121" t="s">
        <v>975</v>
      </c>
      <c r="D83" s="128"/>
    </row>
    <row r="84" spans="1:4" ht="20.100000000000001" customHeight="1" x14ac:dyDescent="0.3">
      <c r="A84" s="221">
        <v>608</v>
      </c>
      <c r="B84" s="201" t="s">
        <v>785</v>
      </c>
      <c r="C84" s="121" t="s">
        <v>971</v>
      </c>
      <c r="D84" s="128"/>
    </row>
    <row r="85" spans="1:4" ht="20.100000000000001" customHeight="1" x14ac:dyDescent="0.3">
      <c r="A85" s="221">
        <v>609</v>
      </c>
      <c r="B85" s="201" t="s">
        <v>786</v>
      </c>
      <c r="C85" s="121" t="s">
        <v>977</v>
      </c>
      <c r="D85" s="128"/>
    </row>
    <row r="86" spans="1:4" ht="20.100000000000001" customHeight="1" x14ac:dyDescent="0.3">
      <c r="A86" s="221">
        <v>610</v>
      </c>
      <c r="B86" s="201" t="s">
        <v>787</v>
      </c>
      <c r="C86" s="125" t="s">
        <v>974</v>
      </c>
      <c r="D86" s="128"/>
    </row>
    <row r="87" spans="1:4" ht="20.100000000000001" customHeight="1" x14ac:dyDescent="0.3">
      <c r="A87" s="221">
        <v>611</v>
      </c>
      <c r="B87" s="201" t="s">
        <v>788</v>
      </c>
      <c r="C87" s="125" t="s">
        <v>973</v>
      </c>
      <c r="D87" s="128"/>
    </row>
    <row r="88" spans="1:4" ht="20.100000000000001" customHeight="1" x14ac:dyDescent="0.3">
      <c r="A88" s="221">
        <v>612</v>
      </c>
      <c r="B88" s="121" t="s">
        <v>775</v>
      </c>
      <c r="C88" s="125" t="s">
        <v>972</v>
      </c>
      <c r="D88" s="128"/>
    </row>
    <row r="89" spans="1:4" ht="20.100000000000001" customHeight="1" x14ac:dyDescent="0.3">
      <c r="A89" s="126">
        <v>613</v>
      </c>
      <c r="B89" s="121" t="s">
        <v>1078</v>
      </c>
    </row>
    <row r="90" spans="1:4" ht="20.100000000000001" customHeight="1" x14ac:dyDescent="0.3">
      <c r="A90" s="126">
        <v>614</v>
      </c>
      <c r="B90" s="121" t="s">
        <v>1079</v>
      </c>
    </row>
  </sheetData>
  <sheetProtection selectLockedCells="1" selectUnlockedCells="1"/>
  <mergeCells count="6">
    <mergeCell ref="C71:D71"/>
    <mergeCell ref="C76:D76"/>
    <mergeCell ref="C8:D8"/>
    <mergeCell ref="C32:D32"/>
    <mergeCell ref="C50:D50"/>
    <mergeCell ref="C64:D64"/>
  </mergeCells>
  <phoneticPr fontId="0" type="noConversion"/>
  <pageMargins left="0.74803149606299213" right="0.74803149606299213" top="0.98425196850393704" bottom="0.98425196850393704" header="0.51181102362204722" footer="0.51181102362204722"/>
  <pageSetup paperSize="9" scale="73" firstPageNumber="0" fitToHeight="2"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D134"/>
  <sheetViews>
    <sheetView showZeros="0" topLeftCell="A103" workbookViewId="0">
      <selection activeCell="D122" sqref="D122"/>
    </sheetView>
  </sheetViews>
  <sheetFormatPr defaultColWidth="9.140625" defaultRowHeight="30" customHeight="1" x14ac:dyDescent="0.35"/>
  <cols>
    <col min="1" max="1" width="10.42578125" style="124" customWidth="1"/>
    <col min="2" max="2" width="31" style="125" customWidth="1"/>
    <col min="3" max="3" width="43.5703125" style="125" customWidth="1"/>
    <col min="4" max="4" width="77.28515625" style="125" customWidth="1"/>
    <col min="5" max="16384" width="9.140625" style="121"/>
  </cols>
  <sheetData>
    <row r="1" spans="1:4" ht="30" customHeight="1" x14ac:dyDescent="0.35">
      <c r="A1" s="228" t="s">
        <v>109</v>
      </c>
      <c r="B1" s="230" t="s">
        <v>140</v>
      </c>
      <c r="C1" s="230" t="s">
        <v>141</v>
      </c>
      <c r="D1" s="229" t="s">
        <v>142</v>
      </c>
    </row>
    <row r="2" spans="1:4" s="234" customFormat="1" ht="20.100000000000001" customHeight="1" x14ac:dyDescent="0.35">
      <c r="A2" s="233"/>
      <c r="B2" s="609" t="s">
        <v>143</v>
      </c>
      <c r="C2" s="609"/>
      <c r="D2" s="609"/>
    </row>
    <row r="3" spans="1:4" s="234" customFormat="1" ht="20.100000000000001" customHeight="1" x14ac:dyDescent="0.35">
      <c r="A3" s="233"/>
      <c r="B3" s="609" t="s">
        <v>144</v>
      </c>
      <c r="C3" s="609"/>
      <c r="D3" s="609"/>
    </row>
    <row r="4" spans="1:4" s="234" customFormat="1" ht="20.100000000000001" customHeight="1" x14ac:dyDescent="0.35">
      <c r="A4" s="233"/>
      <c r="B4" s="609" t="s">
        <v>145</v>
      </c>
      <c r="C4" s="609"/>
      <c r="D4" s="609"/>
    </row>
    <row r="5" spans="1:4" s="234" customFormat="1" ht="20.100000000000001" customHeight="1" x14ac:dyDescent="0.35">
      <c r="A5" s="233"/>
      <c r="B5" s="609" t="s">
        <v>146</v>
      </c>
      <c r="C5" s="609"/>
      <c r="D5" s="609"/>
    </row>
    <row r="6" spans="1:4" s="234" customFormat="1" ht="20.100000000000001" customHeight="1" x14ac:dyDescent="0.35">
      <c r="A6" s="233"/>
      <c r="B6" s="609" t="s">
        <v>147</v>
      </c>
      <c r="C6" s="609"/>
      <c r="D6" s="609"/>
    </row>
    <row r="7" spans="1:4" s="234" customFormat="1" ht="20.100000000000001" customHeight="1" x14ac:dyDescent="0.35">
      <c r="A7" s="233"/>
      <c r="B7" s="609" t="s">
        <v>148</v>
      </c>
      <c r="C7" s="609"/>
      <c r="D7" s="609"/>
    </row>
    <row r="8" spans="1:4" s="234" customFormat="1" ht="20.100000000000001" customHeight="1" x14ac:dyDescent="0.35">
      <c r="A8" s="233"/>
      <c r="B8" s="609" t="s">
        <v>149</v>
      </c>
      <c r="C8" s="609"/>
      <c r="D8" s="609"/>
    </row>
    <row r="9" spans="1:4" ht="15" customHeight="1" x14ac:dyDescent="0.35">
      <c r="A9" s="246">
        <v>0</v>
      </c>
      <c r="B9" s="239" t="s">
        <v>137</v>
      </c>
    </row>
    <row r="10" spans="1:4" ht="30" customHeight="1" x14ac:dyDescent="0.45">
      <c r="B10" s="262" t="s">
        <v>938</v>
      </c>
      <c r="C10" s="223"/>
      <c r="D10" s="223"/>
    </row>
    <row r="11" spans="1:4" s="232" customFormat="1" ht="16.5" x14ac:dyDescent="0.2">
      <c r="A11" s="126">
        <v>1</v>
      </c>
      <c r="B11" s="231" t="s">
        <v>150</v>
      </c>
      <c r="C11" s="231" t="s">
        <v>151</v>
      </c>
      <c r="D11" s="231" t="s">
        <v>152</v>
      </c>
    </row>
    <row r="12" spans="1:4" s="232" customFormat="1" ht="16.5" x14ac:dyDescent="0.2">
      <c r="A12" s="126">
        <v>2</v>
      </c>
      <c r="B12" s="231" t="s">
        <v>156</v>
      </c>
      <c r="C12" s="231" t="s">
        <v>157</v>
      </c>
      <c r="D12" s="231" t="s">
        <v>158</v>
      </c>
    </row>
    <row r="13" spans="1:4" s="232" customFormat="1" ht="16.5" x14ac:dyDescent="0.2">
      <c r="A13" s="126">
        <v>3</v>
      </c>
      <c r="B13" s="231" t="s">
        <v>159</v>
      </c>
      <c r="C13" s="231" t="s">
        <v>160</v>
      </c>
      <c r="D13" s="231" t="s">
        <v>161</v>
      </c>
    </row>
    <row r="14" spans="1:4" s="232" customFormat="1" ht="16.5" x14ac:dyDescent="0.2">
      <c r="A14" s="126">
        <v>4</v>
      </c>
      <c r="B14" s="231" t="s">
        <v>162</v>
      </c>
      <c r="C14" s="231" t="s">
        <v>163</v>
      </c>
      <c r="D14" s="231"/>
    </row>
    <row r="15" spans="1:4" s="232" customFormat="1" ht="16.5" x14ac:dyDescent="0.2">
      <c r="A15" s="126">
        <v>5</v>
      </c>
      <c r="B15" s="231" t="s">
        <v>164</v>
      </c>
      <c r="C15" s="231" t="s">
        <v>165</v>
      </c>
      <c r="D15" s="231" t="s">
        <v>166</v>
      </c>
    </row>
    <row r="16" spans="1:4" s="232" customFormat="1" ht="16.5" x14ac:dyDescent="0.2">
      <c r="A16" s="126">
        <v>6</v>
      </c>
      <c r="B16" s="231" t="s">
        <v>167</v>
      </c>
      <c r="C16" s="231" t="s">
        <v>168</v>
      </c>
      <c r="D16" s="231" t="s">
        <v>169</v>
      </c>
    </row>
    <row r="17" spans="1:4" s="232" customFormat="1" ht="16.5" x14ac:dyDescent="0.2">
      <c r="A17" s="126">
        <v>7</v>
      </c>
      <c r="B17" s="231" t="s">
        <v>170</v>
      </c>
      <c r="C17" s="231" t="s">
        <v>171</v>
      </c>
      <c r="D17" s="231" t="s">
        <v>172</v>
      </c>
    </row>
    <row r="18" spans="1:4" s="232" customFormat="1" ht="16.5" x14ac:dyDescent="0.2">
      <c r="A18" s="126">
        <v>8</v>
      </c>
      <c r="B18" s="231" t="s">
        <v>173</v>
      </c>
      <c r="C18" s="231" t="s">
        <v>174</v>
      </c>
      <c r="D18" s="231" t="s">
        <v>175</v>
      </c>
    </row>
    <row r="19" spans="1:4" s="232" customFormat="1" ht="16.5" x14ac:dyDescent="0.2">
      <c r="A19" s="126">
        <v>9</v>
      </c>
      <c r="B19" s="231" t="s">
        <v>176</v>
      </c>
      <c r="C19" s="231" t="s">
        <v>177</v>
      </c>
      <c r="D19" s="231" t="s">
        <v>178</v>
      </c>
    </row>
    <row r="20" spans="1:4" s="232" customFormat="1" ht="16.5" x14ac:dyDescent="0.2">
      <c r="A20" s="126">
        <v>10</v>
      </c>
      <c r="B20" s="231" t="s">
        <v>179</v>
      </c>
      <c r="C20" s="231" t="s">
        <v>180</v>
      </c>
      <c r="D20" s="231" t="s">
        <v>1081</v>
      </c>
    </row>
    <row r="21" spans="1:4" s="232" customFormat="1" ht="16.5" x14ac:dyDescent="0.2">
      <c r="A21" s="126">
        <v>11</v>
      </c>
      <c r="B21" s="231" t="s">
        <v>182</v>
      </c>
      <c r="C21" s="231" t="s">
        <v>183</v>
      </c>
      <c r="D21" s="231" t="s">
        <v>184</v>
      </c>
    </row>
    <row r="22" spans="1:4" s="232" customFormat="1" ht="16.5" x14ac:dyDescent="0.2">
      <c r="A22" s="126">
        <v>12</v>
      </c>
      <c r="B22" s="231" t="s">
        <v>185</v>
      </c>
      <c r="C22" s="231" t="s">
        <v>186</v>
      </c>
      <c r="D22" s="231" t="s">
        <v>187</v>
      </c>
    </row>
    <row r="23" spans="1:4" s="232" customFormat="1" ht="16.5" x14ac:dyDescent="0.2">
      <c r="A23" s="126">
        <v>13</v>
      </c>
      <c r="B23" s="231" t="s">
        <v>1080</v>
      </c>
      <c r="C23" s="231" t="s">
        <v>165</v>
      </c>
      <c r="D23" s="231" t="s">
        <v>189</v>
      </c>
    </row>
    <row r="24" spans="1:4" s="232" customFormat="1" ht="16.5" x14ac:dyDescent="0.2">
      <c r="A24" s="126">
        <v>14</v>
      </c>
      <c r="B24" s="231" t="s">
        <v>190</v>
      </c>
      <c r="C24" s="231" t="s">
        <v>191</v>
      </c>
      <c r="D24" s="231" t="s">
        <v>192</v>
      </c>
    </row>
    <row r="25" spans="1:4" s="232" customFormat="1" ht="16.5" x14ac:dyDescent="0.2">
      <c r="A25" s="126">
        <v>15</v>
      </c>
      <c r="B25" s="231" t="s">
        <v>193</v>
      </c>
      <c r="C25" s="231"/>
      <c r="D25" s="231"/>
    </row>
    <row r="26" spans="1:4" s="232" customFormat="1" ht="16.5" x14ac:dyDescent="0.2">
      <c r="A26" s="126">
        <v>16</v>
      </c>
      <c r="B26" s="231" t="s">
        <v>194</v>
      </c>
      <c r="C26" s="231"/>
      <c r="D26" s="231"/>
    </row>
    <row r="27" spans="1:4" s="232" customFormat="1" ht="16.5" x14ac:dyDescent="0.2">
      <c r="A27" s="126">
        <v>17</v>
      </c>
      <c r="B27" s="231" t="s">
        <v>195</v>
      </c>
      <c r="C27" s="231" t="s">
        <v>196</v>
      </c>
      <c r="D27" s="231" t="s">
        <v>127</v>
      </c>
    </row>
    <row r="28" spans="1:4" s="232" customFormat="1" ht="16.5" x14ac:dyDescent="0.2">
      <c r="A28" s="126">
        <v>18</v>
      </c>
      <c r="B28" s="231" t="s">
        <v>197</v>
      </c>
      <c r="C28" s="231" t="s">
        <v>198</v>
      </c>
      <c r="D28" s="231" t="s">
        <v>199</v>
      </c>
    </row>
    <row r="29" spans="1:4" s="232" customFormat="1" ht="16.5" x14ac:dyDescent="0.2">
      <c r="A29" s="126">
        <v>19</v>
      </c>
      <c r="B29" s="231" t="s">
        <v>200</v>
      </c>
      <c r="C29" s="231" t="s">
        <v>201</v>
      </c>
      <c r="D29" s="231" t="s">
        <v>178</v>
      </c>
    </row>
    <row r="30" spans="1:4" s="232" customFormat="1" ht="16.5" x14ac:dyDescent="0.2">
      <c r="A30" s="126">
        <v>20</v>
      </c>
      <c r="B30" s="231" t="s">
        <v>202</v>
      </c>
      <c r="C30" s="231" t="s">
        <v>203</v>
      </c>
      <c r="D30" s="231" t="s">
        <v>204</v>
      </c>
    </row>
    <row r="31" spans="1:4" s="232" customFormat="1" ht="16.5" x14ac:dyDescent="0.2">
      <c r="A31" s="126">
        <v>21</v>
      </c>
      <c r="B31" s="231" t="s">
        <v>205</v>
      </c>
      <c r="C31" s="231" t="s">
        <v>206</v>
      </c>
      <c r="D31" s="231" t="s">
        <v>207</v>
      </c>
    </row>
    <row r="32" spans="1:4" s="232" customFormat="1" ht="16.5" x14ac:dyDescent="0.2">
      <c r="A32" s="126">
        <v>22</v>
      </c>
      <c r="B32" s="231" t="s">
        <v>208</v>
      </c>
      <c r="C32" s="231" t="s">
        <v>209</v>
      </c>
      <c r="D32" s="231" t="s">
        <v>210</v>
      </c>
    </row>
    <row r="33" spans="1:4" s="232" customFormat="1" x14ac:dyDescent="0.2">
      <c r="A33" s="126">
        <v>23</v>
      </c>
      <c r="B33" s="231" t="s">
        <v>211</v>
      </c>
      <c r="C33" s="231" t="s">
        <v>212</v>
      </c>
      <c r="D33" s="231" t="s">
        <v>213</v>
      </c>
    </row>
    <row r="34" spans="1:4" s="232" customFormat="1" ht="16.5" x14ac:dyDescent="0.2">
      <c r="A34" s="126">
        <v>24</v>
      </c>
      <c r="B34" s="231" t="s">
        <v>214</v>
      </c>
      <c r="C34" s="231" t="s">
        <v>209</v>
      </c>
      <c r="D34" s="231" t="s">
        <v>215</v>
      </c>
    </row>
    <row r="35" spans="1:4" s="232" customFormat="1" ht="16.5" x14ac:dyDescent="0.2">
      <c r="A35" s="126">
        <v>25</v>
      </c>
      <c r="B35" s="231" t="s">
        <v>216</v>
      </c>
      <c r="C35" s="231" t="s">
        <v>209</v>
      </c>
      <c r="D35" s="231" t="s">
        <v>217</v>
      </c>
    </row>
    <row r="36" spans="1:4" s="232" customFormat="1" ht="16.5" x14ac:dyDescent="0.2">
      <c r="A36" s="126">
        <v>26</v>
      </c>
      <c r="B36" s="231" t="s">
        <v>218</v>
      </c>
      <c r="C36" s="231" t="s">
        <v>209</v>
      </c>
      <c r="D36" s="231" t="s">
        <v>219</v>
      </c>
    </row>
    <row r="37" spans="1:4" s="232" customFormat="1" ht="16.5" x14ac:dyDescent="0.2">
      <c r="A37" s="126">
        <v>27</v>
      </c>
      <c r="B37" s="231" t="s">
        <v>220</v>
      </c>
      <c r="C37" s="231" t="s">
        <v>221</v>
      </c>
      <c r="D37" s="231" t="s">
        <v>178</v>
      </c>
    </row>
    <row r="38" spans="1:4" s="232" customFormat="1" ht="45" x14ac:dyDescent="0.2">
      <c r="A38" s="126">
        <v>28</v>
      </c>
      <c r="B38" s="231" t="s">
        <v>222</v>
      </c>
      <c r="C38" s="231" t="s">
        <v>223</v>
      </c>
      <c r="D38" s="231"/>
    </row>
    <row r="39" spans="1:4" s="232" customFormat="1" ht="16.5" x14ac:dyDescent="0.2">
      <c r="A39" s="126">
        <v>29</v>
      </c>
      <c r="B39" s="231" t="s">
        <v>224</v>
      </c>
      <c r="C39" s="231" t="s">
        <v>209</v>
      </c>
      <c r="D39" s="231" t="s">
        <v>225</v>
      </c>
    </row>
    <row r="40" spans="1:4" s="232" customFormat="1" ht="16.5" x14ac:dyDescent="0.2">
      <c r="A40" s="126">
        <v>30</v>
      </c>
      <c r="B40" s="231" t="s">
        <v>226</v>
      </c>
      <c r="C40" s="231" t="s">
        <v>227</v>
      </c>
      <c r="D40" s="231" t="s">
        <v>228</v>
      </c>
    </row>
    <row r="41" spans="1:4" s="232" customFormat="1" ht="16.5" x14ac:dyDescent="0.2">
      <c r="A41" s="126">
        <v>31</v>
      </c>
      <c r="B41" s="231" t="s">
        <v>229</v>
      </c>
      <c r="C41" s="231" t="s">
        <v>157</v>
      </c>
      <c r="D41" s="231" t="s">
        <v>230</v>
      </c>
    </row>
    <row r="42" spans="1:4" s="232" customFormat="1" ht="16.5" x14ac:dyDescent="0.2">
      <c r="A42" s="126">
        <v>32</v>
      </c>
      <c r="B42" s="231" t="s">
        <v>231</v>
      </c>
      <c r="C42" s="231" t="s">
        <v>232</v>
      </c>
      <c r="D42" s="231" t="s">
        <v>233</v>
      </c>
    </row>
    <row r="43" spans="1:4" s="232" customFormat="1" ht="16.5" x14ac:dyDescent="0.2">
      <c r="A43" s="126">
        <v>33</v>
      </c>
      <c r="B43" s="231" t="s">
        <v>234</v>
      </c>
      <c r="C43" s="231" t="s">
        <v>235</v>
      </c>
      <c r="D43" s="231" t="s">
        <v>236</v>
      </c>
    </row>
    <row r="44" spans="1:4" s="232" customFormat="1" x14ac:dyDescent="0.2">
      <c r="A44" s="126">
        <v>34</v>
      </c>
      <c r="B44" s="231" t="s">
        <v>441</v>
      </c>
      <c r="C44" s="231"/>
      <c r="D44" s="231" t="s">
        <v>237</v>
      </c>
    </row>
    <row r="45" spans="1:4" s="232" customFormat="1" ht="16.5" x14ac:dyDescent="0.2">
      <c r="A45" s="126">
        <v>35</v>
      </c>
      <c r="B45" s="231" t="s">
        <v>238</v>
      </c>
      <c r="C45" s="231" t="s">
        <v>157</v>
      </c>
      <c r="D45" s="231" t="s">
        <v>239</v>
      </c>
    </row>
    <row r="46" spans="1:4" s="232" customFormat="1" ht="16.5" x14ac:dyDescent="0.2">
      <c r="A46" s="126">
        <v>36</v>
      </c>
      <c r="B46" s="231" t="s">
        <v>240</v>
      </c>
      <c r="C46" s="231" t="s">
        <v>209</v>
      </c>
      <c r="D46" s="231" t="s">
        <v>241</v>
      </c>
    </row>
    <row r="47" spans="1:4" s="232" customFormat="1" ht="16.5" x14ac:dyDescent="0.2">
      <c r="A47" s="126">
        <v>37</v>
      </c>
      <c r="B47" s="231" t="s">
        <v>242</v>
      </c>
      <c r="C47" s="231" t="s">
        <v>209</v>
      </c>
      <c r="D47" s="231" t="s">
        <v>243</v>
      </c>
    </row>
    <row r="48" spans="1:4" s="232" customFormat="1" ht="16.5" x14ac:dyDescent="0.2">
      <c r="A48" s="126">
        <v>38</v>
      </c>
      <c r="B48" s="231" t="s">
        <v>244</v>
      </c>
      <c r="C48" s="231" t="s">
        <v>245</v>
      </c>
      <c r="D48" s="231" t="s">
        <v>246</v>
      </c>
    </row>
    <row r="49" spans="1:4" s="232" customFormat="1" ht="16.5" x14ac:dyDescent="0.2">
      <c r="A49" s="126">
        <v>39</v>
      </c>
      <c r="B49" s="231" t="s">
        <v>247</v>
      </c>
      <c r="C49" s="231" t="s">
        <v>248</v>
      </c>
      <c r="D49" s="231" t="s">
        <v>249</v>
      </c>
    </row>
    <row r="50" spans="1:4" s="232" customFormat="1" ht="16.5" x14ac:dyDescent="0.2">
      <c r="A50" s="126">
        <v>40</v>
      </c>
      <c r="B50" s="231" t="s">
        <v>250</v>
      </c>
      <c r="C50" s="231" t="s">
        <v>196</v>
      </c>
      <c r="D50" s="231" t="s">
        <v>251</v>
      </c>
    </row>
    <row r="51" spans="1:4" s="232" customFormat="1" ht="16.5" x14ac:dyDescent="0.2">
      <c r="A51" s="126">
        <v>41</v>
      </c>
      <c r="B51" s="231" t="s">
        <v>252</v>
      </c>
      <c r="C51" s="231" t="s">
        <v>253</v>
      </c>
      <c r="D51" s="231" t="s">
        <v>254</v>
      </c>
    </row>
    <row r="52" spans="1:4" s="232" customFormat="1" ht="16.5" x14ac:dyDescent="0.2">
      <c r="A52" s="126">
        <v>42</v>
      </c>
      <c r="B52" s="231" t="s">
        <v>255</v>
      </c>
      <c r="C52" s="231" t="s">
        <v>256</v>
      </c>
      <c r="D52" s="231" t="s">
        <v>257</v>
      </c>
    </row>
    <row r="53" spans="1:4" s="232" customFormat="1" ht="16.5" x14ac:dyDescent="0.2">
      <c r="A53" s="126">
        <v>43</v>
      </c>
      <c r="B53" s="231" t="s">
        <v>258</v>
      </c>
      <c r="C53" s="231" t="s">
        <v>227</v>
      </c>
      <c r="D53" s="231" t="s">
        <v>259</v>
      </c>
    </row>
    <row r="54" spans="1:4" s="232" customFormat="1" ht="16.5" x14ac:dyDescent="0.2">
      <c r="A54" s="126">
        <v>44</v>
      </c>
      <c r="B54" s="231" t="s">
        <v>260</v>
      </c>
      <c r="C54" s="231" t="s">
        <v>261</v>
      </c>
      <c r="D54" s="231" t="s">
        <v>262</v>
      </c>
    </row>
    <row r="55" spans="1:4" s="232" customFormat="1" ht="45" x14ac:dyDescent="0.2">
      <c r="A55" s="126">
        <v>45</v>
      </c>
      <c r="B55" s="231" t="s">
        <v>263</v>
      </c>
      <c r="C55" s="231" t="s">
        <v>264</v>
      </c>
      <c r="D55" s="231" t="s">
        <v>265</v>
      </c>
    </row>
    <row r="56" spans="1:4" s="232" customFormat="1" ht="16.5" x14ac:dyDescent="0.2">
      <c r="A56" s="126">
        <v>46</v>
      </c>
      <c r="B56" s="231" t="s">
        <v>269</v>
      </c>
      <c r="C56" s="231" t="s">
        <v>157</v>
      </c>
      <c r="D56" s="231" t="s">
        <v>270</v>
      </c>
    </row>
    <row r="57" spans="1:4" s="232" customFormat="1" ht="16.5" x14ac:dyDescent="0.2">
      <c r="A57" s="126">
        <v>47</v>
      </c>
      <c r="B57" s="231" t="s">
        <v>271</v>
      </c>
      <c r="C57" s="231" t="s">
        <v>209</v>
      </c>
      <c r="D57" s="231" t="s">
        <v>272</v>
      </c>
    </row>
    <row r="58" spans="1:4" s="232" customFormat="1" ht="16.5" x14ac:dyDescent="0.2">
      <c r="A58" s="126">
        <v>48</v>
      </c>
      <c r="B58" s="231" t="s">
        <v>273</v>
      </c>
      <c r="C58" s="231" t="s">
        <v>274</v>
      </c>
      <c r="D58" s="231" t="s">
        <v>275</v>
      </c>
    </row>
    <row r="59" spans="1:4" s="232" customFormat="1" ht="16.5" x14ac:dyDescent="0.2">
      <c r="A59" s="126">
        <v>49</v>
      </c>
      <c r="B59" s="231" t="s">
        <v>276</v>
      </c>
      <c r="C59" s="231" t="s">
        <v>261</v>
      </c>
      <c r="D59" s="231" t="s">
        <v>277</v>
      </c>
    </row>
    <row r="60" spans="1:4" s="232" customFormat="1" ht="16.5" x14ac:dyDescent="0.2">
      <c r="A60" s="126">
        <v>50</v>
      </c>
      <c r="B60" s="231" t="s">
        <v>278</v>
      </c>
      <c r="C60" s="231" t="s">
        <v>279</v>
      </c>
      <c r="D60" s="231" t="s">
        <v>280</v>
      </c>
    </row>
    <row r="61" spans="1:4" s="232" customFormat="1" ht="16.5" x14ac:dyDescent="0.2">
      <c r="A61" s="126">
        <v>51</v>
      </c>
      <c r="B61" s="231" t="s">
        <v>281</v>
      </c>
      <c r="C61" s="231" t="s">
        <v>282</v>
      </c>
      <c r="D61" s="231" t="s">
        <v>283</v>
      </c>
    </row>
    <row r="62" spans="1:4" s="232" customFormat="1" ht="16.5" x14ac:dyDescent="0.2">
      <c r="A62" s="126">
        <v>52</v>
      </c>
      <c r="B62" s="231" t="s">
        <v>284</v>
      </c>
      <c r="C62" s="231" t="s">
        <v>285</v>
      </c>
      <c r="D62" s="231" t="s">
        <v>286</v>
      </c>
    </row>
    <row r="63" spans="1:4" s="232" customFormat="1" ht="16.5" x14ac:dyDescent="0.2">
      <c r="A63" s="126">
        <v>53</v>
      </c>
      <c r="B63" s="231" t="s">
        <v>287</v>
      </c>
      <c r="C63" s="231"/>
      <c r="D63" s="231"/>
    </row>
    <row r="64" spans="1:4" s="232" customFormat="1" ht="16.5" x14ac:dyDescent="0.2">
      <c r="A64" s="126">
        <v>54</v>
      </c>
      <c r="B64" s="231" t="s">
        <v>288</v>
      </c>
      <c r="C64" s="231" t="s">
        <v>157</v>
      </c>
      <c r="D64" s="231" t="s">
        <v>289</v>
      </c>
    </row>
    <row r="65" spans="1:4" s="232" customFormat="1" ht="16.5" x14ac:dyDescent="0.2">
      <c r="A65" s="126">
        <v>55</v>
      </c>
      <c r="B65" s="231" t="s">
        <v>290</v>
      </c>
      <c r="C65" s="231" t="s">
        <v>157</v>
      </c>
      <c r="D65" s="231" t="s">
        <v>291</v>
      </c>
    </row>
    <row r="66" spans="1:4" s="232" customFormat="1" ht="16.5" x14ac:dyDescent="0.2">
      <c r="A66" s="126">
        <v>56</v>
      </c>
      <c r="B66" s="231" t="s">
        <v>292</v>
      </c>
      <c r="C66" s="231" t="s">
        <v>209</v>
      </c>
      <c r="D66" s="231" t="s">
        <v>293</v>
      </c>
    </row>
    <row r="67" spans="1:4" s="232" customFormat="1" ht="16.5" x14ac:dyDescent="0.2">
      <c r="A67" s="126">
        <v>57</v>
      </c>
      <c r="B67" s="231" t="s">
        <v>294</v>
      </c>
      <c r="C67" s="231" t="s">
        <v>295</v>
      </c>
      <c r="D67" s="231" t="s">
        <v>296</v>
      </c>
    </row>
    <row r="68" spans="1:4" s="232" customFormat="1" ht="16.5" x14ac:dyDescent="0.2">
      <c r="A68" s="126">
        <v>58</v>
      </c>
      <c r="B68" s="231" t="s">
        <v>297</v>
      </c>
      <c r="C68" s="231"/>
      <c r="D68" s="231"/>
    </row>
    <row r="69" spans="1:4" s="232" customFormat="1" ht="16.5" x14ac:dyDescent="0.2">
      <c r="A69" s="126">
        <v>59</v>
      </c>
      <c r="B69" s="231" t="s">
        <v>300</v>
      </c>
      <c r="C69" s="231" t="s">
        <v>55</v>
      </c>
      <c r="D69" s="231" t="s">
        <v>301</v>
      </c>
    </row>
    <row r="70" spans="1:4" s="232" customFormat="1" ht="16.5" x14ac:dyDescent="0.2">
      <c r="A70" s="126">
        <v>60</v>
      </c>
      <c r="B70" s="231" t="s">
        <v>302</v>
      </c>
      <c r="C70" s="231" t="s">
        <v>303</v>
      </c>
      <c r="D70" s="231" t="s">
        <v>304</v>
      </c>
    </row>
    <row r="71" spans="1:4" s="232" customFormat="1" ht="16.5" x14ac:dyDescent="0.2">
      <c r="A71" s="126">
        <v>61</v>
      </c>
      <c r="B71" s="231" t="s">
        <v>305</v>
      </c>
      <c r="C71" s="231" t="s">
        <v>157</v>
      </c>
      <c r="D71" s="231" t="s">
        <v>306</v>
      </c>
    </row>
    <row r="72" spans="1:4" s="232" customFormat="1" ht="16.5" x14ac:dyDescent="0.2">
      <c r="A72" s="126">
        <v>62</v>
      </c>
      <c r="B72" s="231" t="s">
        <v>307</v>
      </c>
      <c r="C72" s="231" t="s">
        <v>308</v>
      </c>
      <c r="D72" s="231" t="s">
        <v>204</v>
      </c>
    </row>
    <row r="73" spans="1:4" s="232" customFormat="1" ht="16.5" x14ac:dyDescent="0.2">
      <c r="A73" s="126">
        <v>63</v>
      </c>
      <c r="B73" s="231" t="s">
        <v>311</v>
      </c>
      <c r="C73" s="231" t="s">
        <v>312</v>
      </c>
      <c r="D73" s="231" t="s">
        <v>313</v>
      </c>
    </row>
    <row r="74" spans="1:4" s="232" customFormat="1" ht="16.5" x14ac:dyDescent="0.2">
      <c r="A74" s="126">
        <v>64</v>
      </c>
      <c r="B74" s="231" t="s">
        <v>314</v>
      </c>
      <c r="C74" s="231" t="s">
        <v>315</v>
      </c>
      <c r="D74" s="231" t="s">
        <v>316</v>
      </c>
    </row>
    <row r="75" spans="1:4" s="232" customFormat="1" ht="16.5" x14ac:dyDescent="0.2">
      <c r="A75" s="126">
        <v>65</v>
      </c>
      <c r="B75" s="231" t="s">
        <v>317</v>
      </c>
      <c r="C75" s="231" t="s">
        <v>157</v>
      </c>
      <c r="D75" s="231" t="s">
        <v>178</v>
      </c>
    </row>
    <row r="76" spans="1:4" s="232" customFormat="1" ht="16.5" x14ac:dyDescent="0.2">
      <c r="A76" s="126">
        <v>66</v>
      </c>
      <c r="B76" s="231" t="s">
        <v>318</v>
      </c>
      <c r="C76" s="231" t="s">
        <v>261</v>
      </c>
      <c r="D76" s="231" t="s">
        <v>319</v>
      </c>
    </row>
    <row r="77" spans="1:4" s="232" customFormat="1" ht="16.5" x14ac:dyDescent="0.2">
      <c r="A77" s="126">
        <v>67</v>
      </c>
      <c r="B77" s="231" t="s">
        <v>320</v>
      </c>
      <c r="C77" s="231" t="s">
        <v>227</v>
      </c>
      <c r="D77" s="231" t="s">
        <v>321</v>
      </c>
    </row>
    <row r="78" spans="1:4" s="232" customFormat="1" x14ac:dyDescent="0.2">
      <c r="A78" s="126">
        <v>68</v>
      </c>
      <c r="B78" s="231" t="s">
        <v>325</v>
      </c>
      <c r="C78" s="231" t="s">
        <v>326</v>
      </c>
      <c r="D78" s="231" t="s">
        <v>327</v>
      </c>
    </row>
    <row r="79" spans="1:4" s="232" customFormat="1" ht="16.5" x14ac:dyDescent="0.2">
      <c r="A79" s="126">
        <v>69</v>
      </c>
      <c r="B79" s="231" t="s">
        <v>328</v>
      </c>
      <c r="C79" s="231" t="s">
        <v>329</v>
      </c>
      <c r="D79" s="231"/>
    </row>
    <row r="80" spans="1:4" s="232" customFormat="1" ht="16.5" x14ac:dyDescent="0.2">
      <c r="A80" s="126">
        <v>70</v>
      </c>
      <c r="B80" s="231" t="s">
        <v>330</v>
      </c>
      <c r="C80" s="231" t="s">
        <v>331</v>
      </c>
      <c r="D80" s="231" t="s">
        <v>332</v>
      </c>
    </row>
    <row r="81" spans="1:4" s="232" customFormat="1" ht="16.5" x14ac:dyDescent="0.2">
      <c r="A81" s="126">
        <v>71</v>
      </c>
      <c r="B81" s="231" t="s">
        <v>336</v>
      </c>
      <c r="C81" s="231" t="s">
        <v>157</v>
      </c>
      <c r="D81" s="231" t="s">
        <v>178</v>
      </c>
    </row>
    <row r="82" spans="1:4" s="232" customFormat="1" ht="16.5" x14ac:dyDescent="0.2">
      <c r="A82" s="126">
        <v>72</v>
      </c>
      <c r="B82" s="231" t="s">
        <v>337</v>
      </c>
      <c r="C82" s="231" t="s">
        <v>338</v>
      </c>
      <c r="D82" s="231" t="s">
        <v>339</v>
      </c>
    </row>
    <row r="83" spans="1:4" s="232" customFormat="1" ht="16.5" x14ac:dyDescent="0.2">
      <c r="A83" s="126">
        <v>73</v>
      </c>
      <c r="B83" s="231" t="s">
        <v>343</v>
      </c>
      <c r="C83" s="231" t="s">
        <v>344</v>
      </c>
      <c r="D83" s="231" t="s">
        <v>345</v>
      </c>
    </row>
    <row r="84" spans="1:4" s="232" customFormat="1" ht="16.5" x14ac:dyDescent="0.2">
      <c r="A84" s="126">
        <v>74</v>
      </c>
      <c r="B84" s="231" t="s">
        <v>346</v>
      </c>
      <c r="C84" s="231"/>
      <c r="D84" s="231"/>
    </row>
    <row r="85" spans="1:4" s="232" customFormat="1" ht="16.5" x14ac:dyDescent="0.2">
      <c r="A85" s="126">
        <v>75</v>
      </c>
      <c r="B85" s="231" t="s">
        <v>347</v>
      </c>
      <c r="C85" s="231"/>
      <c r="D85" s="231"/>
    </row>
    <row r="86" spans="1:4" s="232" customFormat="1" ht="16.5" x14ac:dyDescent="0.2">
      <c r="A86" s="126">
        <v>76</v>
      </c>
      <c r="B86" s="231" t="s">
        <v>348</v>
      </c>
      <c r="C86" s="231" t="s">
        <v>349</v>
      </c>
      <c r="D86" s="231" t="s">
        <v>350</v>
      </c>
    </row>
    <row r="87" spans="1:4" s="232" customFormat="1" ht="16.5" x14ac:dyDescent="0.2">
      <c r="A87" s="126">
        <v>77</v>
      </c>
      <c r="B87" s="231" t="s">
        <v>351</v>
      </c>
      <c r="C87" s="231" t="s">
        <v>352</v>
      </c>
      <c r="D87" s="231" t="s">
        <v>353</v>
      </c>
    </row>
    <row r="88" spans="1:4" s="232" customFormat="1" ht="16.5" x14ac:dyDescent="0.2">
      <c r="A88" s="126">
        <v>78</v>
      </c>
      <c r="B88" s="231" t="s">
        <v>354</v>
      </c>
      <c r="C88" s="231" t="s">
        <v>355</v>
      </c>
      <c r="D88" s="231" t="s">
        <v>356</v>
      </c>
    </row>
    <row r="89" spans="1:4" s="232" customFormat="1" ht="16.5" x14ac:dyDescent="0.2">
      <c r="A89" s="126">
        <v>79</v>
      </c>
      <c r="B89" s="231" t="s">
        <v>357</v>
      </c>
      <c r="C89" s="231"/>
      <c r="D89" s="231"/>
    </row>
    <row r="90" spans="1:4" s="232" customFormat="1" ht="16.5" x14ac:dyDescent="0.2">
      <c r="A90" s="126">
        <v>80</v>
      </c>
      <c r="B90" s="231" t="s">
        <v>358</v>
      </c>
      <c r="C90" s="231" t="s">
        <v>55</v>
      </c>
      <c r="D90" s="231" t="s">
        <v>359</v>
      </c>
    </row>
    <row r="91" spans="1:4" s="232" customFormat="1" x14ac:dyDescent="0.2">
      <c r="A91" s="126">
        <v>81</v>
      </c>
      <c r="B91" s="231" t="s">
        <v>360</v>
      </c>
      <c r="C91" s="231" t="s">
        <v>361</v>
      </c>
      <c r="D91" s="231" t="s">
        <v>362</v>
      </c>
    </row>
    <row r="92" spans="1:4" s="232" customFormat="1" ht="16.5" x14ac:dyDescent="0.2">
      <c r="A92" s="126">
        <v>82</v>
      </c>
      <c r="B92" s="231" t="s">
        <v>363</v>
      </c>
      <c r="C92" s="231" t="s">
        <v>157</v>
      </c>
      <c r="D92" s="231" t="s">
        <v>364</v>
      </c>
    </row>
    <row r="93" spans="1:4" s="232" customFormat="1" x14ac:dyDescent="0.2">
      <c r="A93" s="126">
        <v>83</v>
      </c>
      <c r="B93" s="231" t="s">
        <v>365</v>
      </c>
      <c r="C93" s="231" t="s">
        <v>366</v>
      </c>
      <c r="D93" s="231" t="s">
        <v>367</v>
      </c>
    </row>
    <row r="94" spans="1:4" s="232" customFormat="1" ht="16.5" x14ac:dyDescent="0.2">
      <c r="A94" s="126">
        <v>84</v>
      </c>
      <c r="B94" s="231" t="s">
        <v>368</v>
      </c>
      <c r="C94" s="231"/>
      <c r="D94" s="231"/>
    </row>
    <row r="95" spans="1:4" s="232" customFormat="1" x14ac:dyDescent="0.2">
      <c r="A95" s="126">
        <v>85</v>
      </c>
      <c r="B95" s="231" t="s">
        <v>371</v>
      </c>
      <c r="C95" s="231" t="s">
        <v>372</v>
      </c>
      <c r="D95" s="231" t="s">
        <v>373</v>
      </c>
    </row>
    <row r="96" spans="1:4" s="232" customFormat="1" ht="16.5" x14ac:dyDescent="0.2">
      <c r="A96" s="126">
        <v>86</v>
      </c>
      <c r="B96" s="231" t="s">
        <v>374</v>
      </c>
      <c r="C96" s="231" t="s">
        <v>157</v>
      </c>
      <c r="D96" s="231" t="s">
        <v>375</v>
      </c>
    </row>
    <row r="97" spans="1:4" s="232" customFormat="1" ht="16.5" x14ac:dyDescent="0.2">
      <c r="A97" s="126">
        <v>87</v>
      </c>
      <c r="B97" s="231" t="s">
        <v>376</v>
      </c>
      <c r="C97" s="231" t="s">
        <v>157</v>
      </c>
      <c r="D97" s="231" t="s">
        <v>178</v>
      </c>
    </row>
    <row r="98" spans="1:4" s="232" customFormat="1" ht="16.5" x14ac:dyDescent="0.2">
      <c r="A98" s="126">
        <v>88</v>
      </c>
      <c r="B98" s="231" t="s">
        <v>377</v>
      </c>
      <c r="C98" s="231" t="s">
        <v>174</v>
      </c>
      <c r="D98" s="231" t="s">
        <v>378</v>
      </c>
    </row>
    <row r="99" spans="1:4" s="232" customFormat="1" ht="16.5" x14ac:dyDescent="0.2">
      <c r="A99" s="126">
        <v>89</v>
      </c>
      <c r="B99" s="231" t="s">
        <v>379</v>
      </c>
      <c r="C99" s="231" t="s">
        <v>261</v>
      </c>
      <c r="D99" s="231" t="s">
        <v>380</v>
      </c>
    </row>
    <row r="100" spans="1:4" s="232" customFormat="1" ht="16.5" x14ac:dyDescent="0.2">
      <c r="A100" s="126">
        <v>90</v>
      </c>
      <c r="B100" s="231" t="s">
        <v>381</v>
      </c>
      <c r="C100" s="231" t="s">
        <v>165</v>
      </c>
      <c r="D100" s="231" t="s">
        <v>382</v>
      </c>
    </row>
    <row r="101" spans="1:4" s="232" customFormat="1" ht="16.5" x14ac:dyDescent="0.2">
      <c r="A101" s="126">
        <v>91</v>
      </c>
      <c r="B101" s="231" t="s">
        <v>383</v>
      </c>
      <c r="C101" s="231" t="s">
        <v>248</v>
      </c>
      <c r="D101" s="231" t="s">
        <v>384</v>
      </c>
    </row>
    <row r="102" spans="1:4" s="236" customFormat="1" ht="22.5" x14ac:dyDescent="0.2">
      <c r="B102" s="263" t="s">
        <v>937</v>
      </c>
      <c r="C102" s="224"/>
      <c r="D102" s="224"/>
    </row>
    <row r="103" spans="1:4" s="244" customFormat="1" ht="22.5" x14ac:dyDescent="0.2">
      <c r="A103" s="243"/>
      <c r="B103" s="245" t="s">
        <v>137</v>
      </c>
      <c r="C103" s="243"/>
      <c r="D103" s="243"/>
    </row>
    <row r="104" spans="1:4" s="232" customFormat="1" ht="16.5" x14ac:dyDescent="0.2">
      <c r="A104" s="126">
        <v>201</v>
      </c>
      <c r="B104" s="231" t="s">
        <v>153</v>
      </c>
      <c r="C104" s="231" t="s">
        <v>154</v>
      </c>
      <c r="D104" s="231" t="s">
        <v>155</v>
      </c>
    </row>
    <row r="105" spans="1:4" s="232" customFormat="1" ht="16.5" x14ac:dyDescent="0.2">
      <c r="A105" s="126">
        <v>202</v>
      </c>
      <c r="B105" s="231" t="s">
        <v>181</v>
      </c>
      <c r="C105" s="231"/>
      <c r="D105" s="231"/>
    </row>
    <row r="106" spans="1:4" s="232" customFormat="1" ht="45" x14ac:dyDescent="0.2">
      <c r="A106" s="126">
        <v>203</v>
      </c>
      <c r="B106" s="231" t="s">
        <v>138</v>
      </c>
      <c r="C106" s="231" t="s">
        <v>188</v>
      </c>
      <c r="D106" s="231" t="s">
        <v>849</v>
      </c>
    </row>
    <row r="107" spans="1:4" s="232" customFormat="1" ht="16.5" x14ac:dyDescent="0.2">
      <c r="A107" s="126">
        <v>204</v>
      </c>
      <c r="B107" s="231" t="s">
        <v>266</v>
      </c>
      <c r="C107" s="231" t="s">
        <v>267</v>
      </c>
      <c r="D107" s="231" t="s">
        <v>268</v>
      </c>
    </row>
    <row r="108" spans="1:4" s="232" customFormat="1" ht="16.5" x14ac:dyDescent="0.2">
      <c r="A108" s="126">
        <v>205</v>
      </c>
      <c r="B108" s="231" t="s">
        <v>298</v>
      </c>
      <c r="C108" s="231"/>
      <c r="D108" s="231"/>
    </row>
    <row r="109" spans="1:4" s="232" customFormat="1" x14ac:dyDescent="0.2">
      <c r="A109" s="126">
        <v>206</v>
      </c>
      <c r="B109" s="231" t="s">
        <v>448</v>
      </c>
      <c r="C109" s="231" t="s">
        <v>299</v>
      </c>
      <c r="D109" s="231" t="s">
        <v>850</v>
      </c>
    </row>
    <row r="110" spans="1:4" s="232" customFormat="1" x14ac:dyDescent="0.2">
      <c r="A110" s="126">
        <v>207</v>
      </c>
      <c r="B110" s="231" t="s">
        <v>309</v>
      </c>
      <c r="C110" s="231" t="s">
        <v>310</v>
      </c>
      <c r="D110" s="231" t="s">
        <v>851</v>
      </c>
    </row>
    <row r="111" spans="1:4" s="232" customFormat="1" ht="16.5" x14ac:dyDescent="0.2">
      <c r="A111" s="126">
        <v>208</v>
      </c>
      <c r="B111" s="231" t="s">
        <v>322</v>
      </c>
      <c r="C111" s="231" t="s">
        <v>323</v>
      </c>
      <c r="D111" s="231" t="s">
        <v>324</v>
      </c>
    </row>
    <row r="112" spans="1:4" s="232" customFormat="1" ht="16.5" x14ac:dyDescent="0.2">
      <c r="A112" s="126">
        <v>209</v>
      </c>
      <c r="B112" s="231" t="s">
        <v>333</v>
      </c>
      <c r="C112" s="231" t="s">
        <v>334</v>
      </c>
      <c r="D112" s="231" t="s">
        <v>335</v>
      </c>
    </row>
    <row r="113" spans="1:4" s="232" customFormat="1" x14ac:dyDescent="0.2">
      <c r="A113" s="126">
        <v>210</v>
      </c>
      <c r="B113" s="231" t="s">
        <v>340</v>
      </c>
      <c r="C113" s="231" t="s">
        <v>341</v>
      </c>
      <c r="D113" s="231" t="s">
        <v>342</v>
      </c>
    </row>
    <row r="114" spans="1:4" s="232" customFormat="1" ht="16.5" x14ac:dyDescent="0.2">
      <c r="A114" s="126">
        <v>211</v>
      </c>
      <c r="B114" s="231" t="s">
        <v>369</v>
      </c>
      <c r="C114" s="231" t="s">
        <v>370</v>
      </c>
      <c r="D114" s="231" t="s">
        <v>268</v>
      </c>
    </row>
    <row r="115" spans="1:4" s="232" customFormat="1" ht="45" x14ac:dyDescent="0.2">
      <c r="A115" s="126">
        <v>212</v>
      </c>
      <c r="B115" s="231" t="s">
        <v>444</v>
      </c>
      <c r="C115" s="231" t="s">
        <v>440</v>
      </c>
      <c r="D115" s="231" t="s">
        <v>445</v>
      </c>
    </row>
    <row r="116" spans="1:4" s="232" customFormat="1" ht="45" x14ac:dyDescent="0.2">
      <c r="A116" s="126">
        <v>213</v>
      </c>
      <c r="B116" s="231" t="s">
        <v>442</v>
      </c>
      <c r="C116" s="231" t="s">
        <v>440</v>
      </c>
      <c r="D116" s="231" t="s">
        <v>446</v>
      </c>
    </row>
    <row r="117" spans="1:4" s="232" customFormat="1" ht="45" x14ac:dyDescent="0.2">
      <c r="A117" s="126">
        <v>214</v>
      </c>
      <c r="B117" s="231" t="s">
        <v>443</v>
      </c>
      <c r="C117" s="231" t="s">
        <v>440</v>
      </c>
      <c r="D117" s="231" t="s">
        <v>447</v>
      </c>
    </row>
    <row r="118" spans="1:4" s="232" customFormat="1" ht="90" x14ac:dyDescent="0.2">
      <c r="A118" s="126">
        <v>215</v>
      </c>
      <c r="B118" s="231" t="s">
        <v>795</v>
      </c>
      <c r="C118" s="231" t="s">
        <v>852</v>
      </c>
      <c r="D118" s="231" t="s">
        <v>939</v>
      </c>
    </row>
    <row r="119" spans="1:4" s="232" customFormat="1" ht="16.5" x14ac:dyDescent="0.2">
      <c r="A119" s="126"/>
      <c r="B119" s="231"/>
      <c r="C119" s="231"/>
      <c r="D119" s="231"/>
    </row>
    <row r="120" spans="1:4" ht="30" customHeight="1" x14ac:dyDescent="0.45">
      <c r="A120" s="250"/>
      <c r="B120" s="610" t="s">
        <v>943</v>
      </c>
      <c r="C120" s="610"/>
      <c r="D120" s="610"/>
    </row>
    <row r="121" spans="1:4" ht="30" customHeight="1" x14ac:dyDescent="0.35">
      <c r="A121" s="124">
        <v>901</v>
      </c>
      <c r="B121" s="131" t="s">
        <v>385</v>
      </c>
      <c r="C121" s="131" t="s">
        <v>386</v>
      </c>
      <c r="D121" s="131" t="s">
        <v>1087</v>
      </c>
    </row>
    <row r="122" spans="1:4" ht="30" customHeight="1" x14ac:dyDescent="0.35">
      <c r="A122" s="124">
        <v>902</v>
      </c>
      <c r="B122" s="131" t="s">
        <v>387</v>
      </c>
      <c r="C122" s="131" t="s">
        <v>388</v>
      </c>
      <c r="D122" s="131" t="s">
        <v>389</v>
      </c>
    </row>
    <row r="123" spans="1:4" ht="30" customHeight="1" x14ac:dyDescent="0.35">
      <c r="A123" s="124">
        <v>903</v>
      </c>
      <c r="B123" s="131" t="s">
        <v>390</v>
      </c>
      <c r="C123" s="131" t="s">
        <v>391</v>
      </c>
      <c r="D123" s="131" t="s">
        <v>178</v>
      </c>
    </row>
    <row r="124" spans="1:4" ht="30" customHeight="1" x14ac:dyDescent="0.35">
      <c r="A124" s="124">
        <v>904</v>
      </c>
      <c r="B124" s="131" t="s">
        <v>392</v>
      </c>
      <c r="C124" s="131" t="s">
        <v>393</v>
      </c>
      <c r="D124" s="131" t="s">
        <v>394</v>
      </c>
    </row>
    <row r="125" spans="1:4" ht="30" customHeight="1" x14ac:dyDescent="0.35">
      <c r="A125" s="124">
        <v>905</v>
      </c>
      <c r="B125" s="131" t="s">
        <v>194</v>
      </c>
      <c r="C125" s="131" t="s">
        <v>395</v>
      </c>
      <c r="D125" s="131" t="s">
        <v>396</v>
      </c>
    </row>
    <row r="126" spans="1:4" ht="30" customHeight="1" x14ac:dyDescent="0.35">
      <c r="A126" s="124">
        <v>906</v>
      </c>
      <c r="B126" s="131" t="s">
        <v>397</v>
      </c>
      <c r="C126" s="131" t="s">
        <v>398</v>
      </c>
      <c r="D126" s="131" t="s">
        <v>399</v>
      </c>
    </row>
    <row r="127" spans="1:4" ht="30" customHeight="1" x14ac:dyDescent="0.35">
      <c r="A127" s="124">
        <v>907</v>
      </c>
      <c r="B127" s="131" t="s">
        <v>400</v>
      </c>
      <c r="C127" s="131" t="s">
        <v>398</v>
      </c>
      <c r="D127" s="131" t="s">
        <v>178</v>
      </c>
    </row>
    <row r="128" spans="1:4" ht="30" customHeight="1" x14ac:dyDescent="0.35">
      <c r="A128" s="124">
        <v>908</v>
      </c>
      <c r="B128" s="131" t="s">
        <v>401</v>
      </c>
      <c r="C128" s="131" t="s">
        <v>402</v>
      </c>
      <c r="D128" s="131" t="s">
        <v>403</v>
      </c>
    </row>
    <row r="129" spans="1:4" ht="30" customHeight="1" x14ac:dyDescent="0.35">
      <c r="A129" s="124">
        <v>909</v>
      </c>
      <c r="B129" s="131" t="s">
        <v>404</v>
      </c>
      <c r="C129" s="131" t="s">
        <v>405</v>
      </c>
      <c r="D129" s="131" t="s">
        <v>406</v>
      </c>
    </row>
    <row r="130" spans="1:4" ht="30" customHeight="1" x14ac:dyDescent="0.35">
      <c r="A130" s="124">
        <v>910</v>
      </c>
      <c r="B130" s="131" t="s">
        <v>407</v>
      </c>
      <c r="C130" s="131" t="s">
        <v>408</v>
      </c>
      <c r="D130" s="131" t="s">
        <v>409</v>
      </c>
    </row>
    <row r="131" spans="1:4" ht="30" customHeight="1" x14ac:dyDescent="0.35">
      <c r="A131" s="124">
        <v>911</v>
      </c>
      <c r="B131" s="131" t="s">
        <v>410</v>
      </c>
      <c r="C131" s="131" t="s">
        <v>398</v>
      </c>
      <c r="D131" s="131" t="s">
        <v>178</v>
      </c>
    </row>
    <row r="132" spans="1:4" ht="30" customHeight="1" x14ac:dyDescent="0.35">
      <c r="A132" s="124">
        <v>912</v>
      </c>
      <c r="B132" s="131" t="s">
        <v>411</v>
      </c>
      <c r="C132" s="131" t="s">
        <v>398</v>
      </c>
      <c r="D132" s="131" t="s">
        <v>406</v>
      </c>
    </row>
    <row r="133" spans="1:4" ht="30" customHeight="1" x14ac:dyDescent="0.35">
      <c r="A133" s="124">
        <v>913</v>
      </c>
      <c r="B133" s="131" t="s">
        <v>412</v>
      </c>
      <c r="C133" s="131" t="s">
        <v>398</v>
      </c>
      <c r="D133" s="131" t="s">
        <v>413</v>
      </c>
    </row>
    <row r="134" spans="1:4" ht="30" customHeight="1" x14ac:dyDescent="0.35">
      <c r="A134" s="124">
        <v>914</v>
      </c>
      <c r="B134" s="131" t="s">
        <v>414</v>
      </c>
      <c r="C134" s="131" t="s">
        <v>398</v>
      </c>
      <c r="D134" s="131" t="s">
        <v>178</v>
      </c>
    </row>
  </sheetData>
  <sheetProtection selectLockedCells="1" selectUnlockedCells="1"/>
  <mergeCells count="8">
    <mergeCell ref="B6:D6"/>
    <mergeCell ref="B7:D7"/>
    <mergeCell ref="B8:D8"/>
    <mergeCell ref="B120:D120"/>
    <mergeCell ref="B2:D2"/>
    <mergeCell ref="B3:D3"/>
    <mergeCell ref="B4:D4"/>
    <mergeCell ref="B5:D5"/>
  </mergeCells>
  <phoneticPr fontId="0" type="noConversion"/>
  <pageMargins left="0.75" right="0.75" top="1" bottom="1" header="0.51180555555555551" footer="0.51180555555555551"/>
  <pageSetup paperSize="9" scale="81" firstPageNumber="0" fitToHeight="6" orientation="landscape" horizontalDpi="300" verticalDpi="300" r:id="rId1"/>
  <headerFooter alignWithMargins="0">
    <oddHeader>&amp;L&amp;"Comic Sans MS,Standaard"&amp;8versie 6, maart 2014&amp;R&amp;"Comic Sans MS,Standaard"&amp;8svu/th/whp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berekening Wort</vt:lpstr>
      <vt:lpstr>processtappen</vt:lpstr>
      <vt:lpstr>vergisting</vt:lpstr>
      <vt:lpstr>aantekeningen</vt:lpstr>
      <vt:lpstr>mout</vt:lpstr>
      <vt:lpstr>suiker</vt:lpstr>
      <vt:lpstr>hop</vt:lpstr>
      <vt:lpstr>gist</vt:lpstr>
      <vt:lpstr>kruiden</vt:lpstr>
      <vt:lpstr>SG-Plato-Brix</vt:lpstr>
      <vt:lpstr>tabellen</vt:lpstr>
      <vt:lpstr>hulp r</vt:lpstr>
      <vt:lpstr>versie</vt:lpstr>
      <vt:lpstr>Sheet1</vt:lpstr>
      <vt:lpstr>'berekening Wort'!Afdrukbereik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Windows User</cp:lastModifiedBy>
  <cp:lastPrinted>2023-10-17T19:15:31Z</cp:lastPrinted>
  <dcterms:created xsi:type="dcterms:W3CDTF">2010-11-19T08:34:34Z</dcterms:created>
  <dcterms:modified xsi:type="dcterms:W3CDTF">2023-12-09T16:32:26Z</dcterms:modified>
</cp:coreProperties>
</file>